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15465" windowHeight="7260" tabRatio="829"/>
  </bookViews>
  <sheets>
    <sheet name="CheckList" sheetId="2" r:id="rId1"/>
    <sheet name="AHP" sheetId="3" r:id="rId2"/>
    <sheet name="PB" sheetId="11" r:id="rId3"/>
    <sheet name="Case - PB" sheetId="10" r:id="rId4"/>
    <sheet name="TVOM" sheetId="4" r:id="rId5"/>
    <sheet name="NPV" sheetId="5" r:id="rId6"/>
    <sheet name="NPV2" sheetId="6" r:id="rId7"/>
    <sheet name="Case - NPV" sheetId="1" r:id="rId8"/>
    <sheet name="Case - DPB" sheetId="7" r:id="rId9"/>
    <sheet name="Solver" sheetId="9" r:id="rId10"/>
  </sheets>
  <definedNames>
    <definedName name="solver_adj" localSheetId="9" hidden="1">Solver!$D$8:$D$16</definedName>
    <definedName name="solver_cvg" localSheetId="9" hidden="1">0.0001</definedName>
    <definedName name="solver_drv" localSheetId="9" hidden="1">1</definedName>
    <definedName name="solver_eng" localSheetId="9" hidden="1">2</definedName>
    <definedName name="solver_est" localSheetId="9" hidden="1">1</definedName>
    <definedName name="solver_itr" localSheetId="9" hidden="1">2147483647</definedName>
    <definedName name="solver_lhs1" localSheetId="9" hidden="1">Solver!$B$4</definedName>
    <definedName name="solver_lhs2" localSheetId="9" hidden="1">Solver!$D$8:$D$16</definedName>
    <definedName name="solver_lhs3" localSheetId="9" hidden="1">Solver!$D$8:$D$16</definedName>
    <definedName name="solver_lhs4" localSheetId="9" hidden="1">Solver!$D$8:$D$16</definedName>
    <definedName name="solver_lhs5" localSheetId="9" hidden="1">Solver!$D$8:$D$16</definedName>
    <definedName name="solver_lhs6" localSheetId="9" hidden="1">Solver!$D$8:$D$16</definedName>
    <definedName name="solver_mip" localSheetId="9" hidden="1">2147483647</definedName>
    <definedName name="solver_mni" localSheetId="9" hidden="1">30</definedName>
    <definedName name="solver_mrt" localSheetId="9" hidden="1">0.075</definedName>
    <definedName name="solver_msl" localSheetId="9" hidden="1">2</definedName>
    <definedName name="solver_neg" localSheetId="9" hidden="1">1</definedName>
    <definedName name="solver_nod" localSheetId="9" hidden="1">2147483647</definedName>
    <definedName name="solver_num" localSheetId="9" hidden="1">2</definedName>
    <definedName name="solver_nwt" localSheetId="9" hidden="1">1</definedName>
    <definedName name="solver_opt" localSheetId="9" hidden="1">Solver!$B$5</definedName>
    <definedName name="solver_pre" localSheetId="9" hidden="1">0.000001</definedName>
    <definedName name="solver_rbv" localSheetId="9" hidden="1">1</definedName>
    <definedName name="solver_rel1" localSheetId="9" hidden="1">3</definedName>
    <definedName name="solver_rel2" localSheetId="9" hidden="1">5</definedName>
    <definedName name="solver_rel3" localSheetId="9" hidden="1">5</definedName>
    <definedName name="solver_rel4" localSheetId="9" hidden="1">3</definedName>
    <definedName name="solver_rel5" localSheetId="9" hidden="1">3</definedName>
    <definedName name="solver_rel6" localSheetId="9" hidden="1">3</definedName>
    <definedName name="solver_rhs1" localSheetId="9" hidden="1">0</definedName>
    <definedName name="solver_rhs2" localSheetId="9" hidden="1">"binary"</definedName>
    <definedName name="solver_rhs3" localSheetId="9" hidden="1">"binary"</definedName>
    <definedName name="solver_rhs4" localSheetId="9" hidden="1">0</definedName>
    <definedName name="solver_rhs5" localSheetId="9" hidden="1">0</definedName>
    <definedName name="solver_rhs6" localSheetId="9" hidden="1">0</definedName>
    <definedName name="solver_rlx" localSheetId="9" hidden="1">2</definedName>
    <definedName name="solver_rsd" localSheetId="9" hidden="1">0</definedName>
    <definedName name="solver_scl" localSheetId="9" hidden="1">1</definedName>
    <definedName name="solver_sho" localSheetId="9" hidden="1">2</definedName>
    <definedName name="solver_ssz" localSheetId="9" hidden="1">100</definedName>
    <definedName name="solver_tim" localSheetId="9" hidden="1">2147483647</definedName>
    <definedName name="solver_tol" localSheetId="9" hidden="1">0.01</definedName>
    <definedName name="solver_typ" localSheetId="9" hidden="1">1</definedName>
    <definedName name="solver_val" localSheetId="9" hidden="1">0</definedName>
    <definedName name="solver_ver" localSheetId="9" hidden="1">3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3" i="1" l="1"/>
  <c r="E7" i="1"/>
  <c r="E6" i="1"/>
  <c r="G11" i="5"/>
  <c r="G10" i="5"/>
  <c r="G9" i="5"/>
  <c r="G8" i="5"/>
  <c r="G7" i="5"/>
  <c r="E7" i="4"/>
  <c r="G3" i="4"/>
  <c r="K13" i="10"/>
  <c r="E7" i="10"/>
  <c r="E8" i="10" s="1"/>
  <c r="E9" i="10" s="1"/>
  <c r="E10" i="10" s="1"/>
  <c r="E11" i="10" s="1"/>
  <c r="F12" i="11"/>
  <c r="C13" i="3"/>
  <c r="C12" i="3"/>
  <c r="B14" i="3"/>
  <c r="B15" i="3"/>
  <c r="B13" i="3"/>
  <c r="Z6" i="3"/>
  <c r="E13" i="10" l="1"/>
  <c r="F8" i="11"/>
  <c r="F9" i="11" s="1"/>
  <c r="F7" i="11"/>
  <c r="G7" i="7"/>
  <c r="J13" i="6"/>
  <c r="H7" i="5"/>
  <c r="AE29" i="3"/>
  <c r="AE26" i="3"/>
  <c r="AE25" i="3"/>
  <c r="B3" i="9"/>
  <c r="B4" i="9" s="1"/>
  <c r="B5" i="9"/>
  <c r="N13" i="7"/>
  <c r="N8" i="7"/>
  <c r="N9" i="7" s="1"/>
  <c r="N6" i="7"/>
  <c r="N7" i="7"/>
  <c r="G8" i="7"/>
  <c r="G9" i="7" s="1"/>
  <c r="G10" i="7" s="1"/>
  <c r="G6" i="7"/>
  <c r="E11" i="7"/>
  <c r="F11" i="7" s="1"/>
  <c r="F10" i="7"/>
  <c r="E10" i="7"/>
  <c r="L9" i="7"/>
  <c r="M9" i="7" s="1"/>
  <c r="E9" i="7"/>
  <c r="F9" i="7" s="1"/>
  <c r="L8" i="7"/>
  <c r="M8" i="7" s="1"/>
  <c r="F8" i="7"/>
  <c r="E8" i="7"/>
  <c r="L7" i="7"/>
  <c r="M7" i="7" s="1"/>
  <c r="E7" i="7"/>
  <c r="F7" i="7" s="1"/>
  <c r="L6" i="7"/>
  <c r="M6" i="7" s="1"/>
  <c r="F6" i="7"/>
  <c r="E6" i="7"/>
  <c r="L9" i="1"/>
  <c r="M9" i="1" s="1"/>
  <c r="M8" i="1"/>
  <c r="L8" i="1"/>
  <c r="L7" i="1"/>
  <c r="M7" i="1" s="1"/>
  <c r="M6" i="1"/>
  <c r="L6" i="1"/>
  <c r="F7" i="1"/>
  <c r="E8" i="1"/>
  <c r="F8" i="1" s="1"/>
  <c r="E9" i="1"/>
  <c r="F9" i="1" s="1"/>
  <c r="E10" i="1"/>
  <c r="F10" i="1" s="1"/>
  <c r="E11" i="1"/>
  <c r="F11" i="1" s="1"/>
  <c r="F6" i="1"/>
  <c r="G11" i="6"/>
  <c r="H11" i="6" s="1"/>
  <c r="H10" i="6"/>
  <c r="G10" i="6"/>
  <c r="H9" i="6"/>
  <c r="G9" i="6"/>
  <c r="G8" i="6"/>
  <c r="H8" i="6" s="1"/>
  <c r="G7" i="6"/>
  <c r="H7" i="6" s="1"/>
  <c r="G6" i="6"/>
  <c r="H6" i="6" s="1"/>
  <c r="J2" i="6"/>
  <c r="H8" i="5"/>
  <c r="H9" i="5"/>
  <c r="H10" i="5"/>
  <c r="H11" i="5"/>
  <c r="G6" i="5"/>
  <c r="H6" i="5" s="1"/>
  <c r="AB17" i="3"/>
  <c r="AF29" i="3" s="1"/>
  <c r="AA16" i="3"/>
  <c r="AB16" i="3" s="1"/>
  <c r="AA17" i="3"/>
  <c r="AA18" i="3"/>
  <c r="AB18" i="3" s="1"/>
  <c r="AA19" i="3"/>
  <c r="AB19" i="3" s="1"/>
  <c r="AA20" i="3"/>
  <c r="AB20" i="3" s="1"/>
  <c r="Z7" i="3"/>
  <c r="Z8" i="3"/>
  <c r="G11" i="7" l="1"/>
  <c r="G13" i="7"/>
  <c r="M13" i="7"/>
  <c r="F13" i="7"/>
  <c r="M13" i="1"/>
  <c r="H13" i="6"/>
  <c r="H13" i="5"/>
  <c r="AI28" i="3"/>
  <c r="AJ28" i="3"/>
  <c r="AF28" i="3"/>
  <c r="AH29" i="3"/>
  <c r="AH28" i="3"/>
  <c r="AE28" i="3"/>
  <c r="AG28" i="3"/>
  <c r="AH27" i="3"/>
  <c r="AG26" i="3"/>
  <c r="AJ27" i="3"/>
  <c r="AI26" i="3"/>
  <c r="AG29" i="3"/>
  <c r="AF27" i="3"/>
  <c r="AJ29" i="3"/>
  <c r="AG27" i="3"/>
  <c r="AF25" i="3"/>
  <c r="AF26" i="3"/>
  <c r="AG25" i="3"/>
  <c r="AI27" i="3"/>
  <c r="AH25" i="3"/>
  <c r="AH26" i="3"/>
  <c r="AI25" i="3"/>
  <c r="AJ25" i="3"/>
  <c r="AJ26" i="3"/>
  <c r="AE27" i="3"/>
  <c r="AI29" i="3"/>
  <c r="AB21" i="3"/>
  <c r="AA21" i="3"/>
  <c r="Z10" i="3"/>
  <c r="K7" i="10" l="1"/>
  <c r="K8" i="10" s="1"/>
  <c r="K9" i="10" s="1"/>
  <c r="AK25" i="3"/>
  <c r="AK28" i="3"/>
  <c r="AK27" i="3"/>
  <c r="AK29" i="3"/>
  <c r="AK26" i="3"/>
</calcChain>
</file>

<file path=xl/sharedStrings.xml><?xml version="1.0" encoding="utf-8"?>
<sst xmlns="http://schemas.openxmlformats.org/spreadsheetml/2006/main" count="211" uniqueCount="82">
  <si>
    <t>Stategic fit</t>
  </si>
  <si>
    <t>Prbability of technical success</t>
  </si>
  <si>
    <t>Fiancial risk</t>
  </si>
  <si>
    <t>Poential profit</t>
  </si>
  <si>
    <t>Stategic leverage</t>
  </si>
  <si>
    <t>Project</t>
  </si>
  <si>
    <t>Janus</t>
  </si>
  <si>
    <t>Gemini</t>
  </si>
  <si>
    <t>Criteria</t>
  </si>
  <si>
    <t>Performance</t>
  </si>
  <si>
    <t>High</t>
  </si>
  <si>
    <t>Medium</t>
  </si>
  <si>
    <t>Low</t>
  </si>
  <si>
    <t>(×)</t>
  </si>
  <si>
    <t>Second level</t>
  </si>
  <si>
    <t xml:space="preserve">First level </t>
  </si>
  <si>
    <t>1. Financial benefits (0.52)</t>
  </si>
  <si>
    <t>3. Contribution to IT infrastructure (0.140)</t>
  </si>
  <si>
    <t>2. Contribution to strategy (0.34)</t>
  </si>
  <si>
    <t>1A: Short-term (0.156)</t>
  </si>
  <si>
    <t>1B: Long-term (0.364)</t>
  </si>
  <si>
    <t>2A: Increasing market share for product X; (0.1020)</t>
  </si>
  <si>
    <t>2B: Retaining existing customers for product Y; (0.1564)</t>
  </si>
  <si>
    <t>2C: Improving cost management (0.0816)</t>
  </si>
  <si>
    <t>FB</t>
  </si>
  <si>
    <t>IT</t>
  </si>
  <si>
    <t>CS</t>
  </si>
  <si>
    <t>FB weight</t>
  </si>
  <si>
    <t>CS weight</t>
  </si>
  <si>
    <t>IT weight</t>
  </si>
  <si>
    <t>Total</t>
  </si>
  <si>
    <t>Poor</t>
  </si>
  <si>
    <t>Fair</t>
  </si>
  <si>
    <t>Good</t>
  </si>
  <si>
    <t>Very Good</t>
  </si>
  <si>
    <t>Excellent</t>
  </si>
  <si>
    <t>Evaluation Dimention</t>
  </si>
  <si>
    <t>Numerical Value</t>
  </si>
  <si>
    <t>Priority</t>
  </si>
  <si>
    <t>Step 3:</t>
  </si>
  <si>
    <t>Step 2:</t>
  </si>
  <si>
    <t>Step 1:</t>
  </si>
  <si>
    <t>A</t>
  </si>
  <si>
    <t>B</t>
  </si>
  <si>
    <t>C</t>
  </si>
  <si>
    <t>D</t>
  </si>
  <si>
    <t>E</t>
  </si>
  <si>
    <t xml:space="preserve">Nominal Value </t>
  </si>
  <si>
    <t>Step 4:</t>
  </si>
  <si>
    <t>0.156</t>
  </si>
  <si>
    <t>0.364</t>
  </si>
  <si>
    <t>0.102</t>
  </si>
  <si>
    <t>0.1564</t>
  </si>
  <si>
    <t>0.0816</t>
  </si>
  <si>
    <t>0.14</t>
  </si>
  <si>
    <t>1</t>
  </si>
  <si>
    <t>Year</t>
  </si>
  <si>
    <t>Net flow</t>
  </si>
  <si>
    <t>Discount</t>
  </si>
  <si>
    <t>NPV</t>
  </si>
  <si>
    <t>Inflation</t>
  </si>
  <si>
    <t>RR</t>
  </si>
  <si>
    <t>Manual</t>
  </si>
  <si>
    <t>Excel</t>
  </si>
  <si>
    <t>Cum</t>
  </si>
  <si>
    <t>Disocunted Payback period</t>
  </si>
  <si>
    <t>Project Budget</t>
  </si>
  <si>
    <t xml:space="preserve">Total Selected Project Cost </t>
  </si>
  <si>
    <t>Surplus/Overrun</t>
  </si>
  <si>
    <t>Total NPV</t>
  </si>
  <si>
    <t>Project Cost</t>
  </si>
  <si>
    <t>Selected</t>
  </si>
  <si>
    <t>If 4 is taken, 5 must be taken.</t>
  </si>
  <si>
    <t>4 should be taken</t>
  </si>
  <si>
    <t>only 3 projects should be taken</t>
  </si>
  <si>
    <t>Time value of Money</t>
  </si>
  <si>
    <t>Payback period</t>
  </si>
  <si>
    <t>Cash Flow</t>
  </si>
  <si>
    <t>Cumulative</t>
  </si>
  <si>
    <t>2. Improvement of Customer Experience</t>
  </si>
  <si>
    <t>0,1</t>
  </si>
  <si>
    <t>&lt;=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</si>
</sst>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theme="5" tint="0.39997558519241921"/>
      </left>
      <right/>
      <top style="thin">
        <color theme="5" tint="0.39997558519241921"/>
      </top>
      <bottom style="thin">
        <color theme="5" tint="0.39997558519241921"/>
      </bottom>
      <diagonal/>
    </border>
    <border>
      <left/>
      <right/>
      <top style="thin">
        <color theme="5" tint="0.39997558519241921"/>
      </top>
      <bottom style="thin">
        <color theme="5" tint="0.39997558519241921"/>
      </bottom>
      <diagonal/>
    </border>
    <border>
      <left/>
      <right style="thin">
        <color theme="5" tint="0.39997558519241921"/>
      </right>
      <top style="thin">
        <color theme="5" tint="0.39997558519241921"/>
      </top>
      <bottom style="thin">
        <color theme="5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23">
    <xf numFmtId="0" fontId="0" fillId="0" borderId="0" xfId="0"/>
    <xf numFmtId="2" fontId="0" fillId="0" borderId="0" xfId="0" applyNumberFormat="1"/>
    <xf numFmtId="0" fontId="0" fillId="2" borderId="1" xfId="0" applyFill="1" applyBorder="1"/>
    <xf numFmtId="0" fontId="0" fillId="2" borderId="2" xfId="0" applyFill="1" applyBorder="1"/>
    <xf numFmtId="0" fontId="0" fillId="3" borderId="4" xfId="0" applyFill="1" applyBorder="1"/>
    <xf numFmtId="0" fontId="0" fillId="0" borderId="4" xfId="0" applyBorder="1"/>
    <xf numFmtId="0" fontId="0" fillId="0" borderId="5" xfId="0" applyBorder="1"/>
    <xf numFmtId="0" fontId="0" fillId="0" borderId="0" xfId="0" applyAlignment="1">
      <alignment horizontal="left"/>
    </xf>
    <xf numFmtId="0" fontId="1" fillId="0" borderId="0" xfId="0" applyFont="1"/>
    <xf numFmtId="0" fontId="0" fillId="3" borderId="5" xfId="0" applyFill="1" applyBorder="1" applyAlignment="1">
      <alignment wrapText="1"/>
    </xf>
    <xf numFmtId="0" fontId="0" fillId="0" borderId="5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0" xfId="0" applyAlignment="1">
      <alignment horizontal="right"/>
    </xf>
    <xf numFmtId="4" fontId="0" fillId="0" borderId="0" xfId="0" applyNumberFormat="1"/>
    <xf numFmtId="3" fontId="0" fillId="0" borderId="0" xfId="0" applyNumberFormat="1"/>
    <xf numFmtId="0" fontId="0" fillId="0" borderId="0" xfId="0" applyFont="1"/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</cellXfs>
  <cellStyles count="1">
    <cellStyle name="Normal" xfId="0" builtinId="0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</dxf>
    <dxf>
      <numFmt numFmtId="0" formatCode="General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id="1" name="Table1" displayName="Table1" ref="D2:H12" totalsRowShown="0">
  <autoFilter ref="D2:H12"/>
  <tableColumns count="5">
    <tableColumn id="1" name="Project"/>
    <tableColumn id="2" name="Criteria"/>
    <tableColumn id="3" name="High"/>
    <tableColumn id="4" name="Medium"/>
    <tableColumn id="5" name="Low"/>
  </tableColumns>
  <tableStyleInfo name="TableStyleMedium3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B2:C8" totalsRowShown="0">
  <autoFilter ref="B2:C8"/>
  <tableColumns count="2">
    <tableColumn id="1" name="First level "/>
    <tableColumn id="2" name="Second level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Y15:AB21" totalsRowCount="1">
  <autoFilter ref="Y15:AB20"/>
  <tableColumns count="4">
    <tableColumn id="1" name="Evaluation Dimention"/>
    <tableColumn id="2" name="Numerical Value" dataDxfId="9" totalsRowDxfId="8"/>
    <tableColumn id="3" name="Priority" totalsRowFunction="custom">
      <calculatedColumnFormula>Z16/SUM($Z$16:$Z$20)</calculatedColumnFormula>
      <totalsRowFormula>SUM(Table3[Priority])</totalsRowFormula>
    </tableColumn>
    <tableColumn id="4" name="Nominal Value " totalsRowFunction="custom" dataDxfId="7">
      <calculatedColumnFormula>Table3[[#This Row],[Priority]]*2</calculatedColumnFormula>
      <totalsRowFormula>SUM(Table3[[Nominal Value ]])</totalsRowFormula>
    </tableColumn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9" name="Table9" displayName="Table9" ref="AE16:AK21" totalsRowShown="0" dataDxfId="6">
  <autoFilter ref="AE16:AK21"/>
  <tableColumns count="7">
    <tableColumn id="1" name="0.156" dataDxfId="5"/>
    <tableColumn id="2" name="0.364" dataDxfId="4"/>
    <tableColumn id="3" name="0.102" dataDxfId="3"/>
    <tableColumn id="4" name="0.1564" dataDxfId="2"/>
    <tableColumn id="5" name="0.0816" dataDxfId="1"/>
    <tableColumn id="6" name="0.14" dataDxfId="0"/>
    <tableColumn id="7" name="1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id="4" name="Table25" displayName="Table25" ref="B22:C28" totalsRowShown="0">
  <autoFilter ref="B22:C28"/>
  <tableColumns count="2">
    <tableColumn id="1" name="First level "/>
    <tableColumn id="2" name="Second leve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H12"/>
  <sheetViews>
    <sheetView tabSelected="1" topLeftCell="B1" zoomScale="115" zoomScaleNormal="115" workbookViewId="0">
      <selection activeCell="E17" sqref="E17"/>
    </sheetView>
  </sheetViews>
  <sheetFormatPr defaultRowHeight="15" x14ac:dyDescent="0.25"/>
  <cols>
    <col min="3" max="3" width="33.140625" bestFit="1" customWidth="1"/>
    <col min="4" max="4" width="10.140625" customWidth="1"/>
    <col min="5" max="5" width="25.5703125" bestFit="1" customWidth="1"/>
    <col min="6" max="8" width="10.140625" customWidth="1"/>
  </cols>
  <sheetData>
    <row r="1" spans="4:8" x14ac:dyDescent="0.25">
      <c r="D1" s="2"/>
      <c r="E1" s="3"/>
      <c r="F1" s="16" t="s">
        <v>9</v>
      </c>
      <c r="G1" s="16"/>
      <c r="H1" s="17"/>
    </row>
    <row r="2" spans="4:8" x14ac:dyDescent="0.25">
      <c r="D2" t="s">
        <v>5</v>
      </c>
      <c r="E2" t="s">
        <v>8</v>
      </c>
      <c r="F2" t="s">
        <v>10</v>
      </c>
      <c r="G2" t="s">
        <v>11</v>
      </c>
      <c r="H2" t="s">
        <v>12</v>
      </c>
    </row>
    <row r="3" spans="4:8" x14ac:dyDescent="0.25">
      <c r="D3" t="s">
        <v>6</v>
      </c>
      <c r="E3" t="s">
        <v>0</v>
      </c>
      <c r="G3" t="s">
        <v>13</v>
      </c>
    </row>
    <row r="4" spans="4:8" x14ac:dyDescent="0.25">
      <c r="E4" t="s">
        <v>1</v>
      </c>
      <c r="G4" t="s">
        <v>13</v>
      </c>
    </row>
    <row r="5" spans="4:8" x14ac:dyDescent="0.25">
      <c r="E5" t="s">
        <v>2</v>
      </c>
      <c r="H5" t="s">
        <v>13</v>
      </c>
    </row>
    <row r="6" spans="4:8" x14ac:dyDescent="0.25">
      <c r="E6" t="s">
        <v>3</v>
      </c>
      <c r="F6" t="s">
        <v>13</v>
      </c>
    </row>
    <row r="7" spans="4:8" x14ac:dyDescent="0.25">
      <c r="E7" t="s">
        <v>4</v>
      </c>
      <c r="H7" t="s">
        <v>13</v>
      </c>
    </row>
    <row r="8" spans="4:8" x14ac:dyDescent="0.25">
      <c r="D8" t="s">
        <v>7</v>
      </c>
      <c r="E8" t="s">
        <v>0</v>
      </c>
      <c r="F8" t="s">
        <v>13</v>
      </c>
    </row>
    <row r="9" spans="4:8" x14ac:dyDescent="0.25">
      <c r="E9" t="s">
        <v>1</v>
      </c>
      <c r="G9" t="s">
        <v>13</v>
      </c>
    </row>
    <row r="10" spans="4:8" x14ac:dyDescent="0.25">
      <c r="E10" t="s">
        <v>2</v>
      </c>
      <c r="G10" t="s">
        <v>13</v>
      </c>
    </row>
    <row r="11" spans="4:8" x14ac:dyDescent="0.25">
      <c r="E11" t="s">
        <v>3</v>
      </c>
      <c r="F11" t="s">
        <v>13</v>
      </c>
    </row>
    <row r="12" spans="4:8" x14ac:dyDescent="0.25">
      <c r="E12" t="s">
        <v>4</v>
      </c>
      <c r="G12" t="s">
        <v>13</v>
      </c>
    </row>
  </sheetData>
  <mergeCells count="1">
    <mergeCell ref="F1:H1"/>
  </mergeCell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K29"/>
  <sheetViews>
    <sheetView topLeftCell="A16" zoomScaleNormal="100" workbookViewId="0">
      <selection activeCell="C26" sqref="C26"/>
    </sheetView>
  </sheetViews>
  <sheetFormatPr defaultRowHeight="15" x14ac:dyDescent="0.25"/>
  <cols>
    <col min="2" max="2" width="38.5703125" bestFit="1" customWidth="1"/>
    <col min="3" max="3" width="46.85546875" bestFit="1" customWidth="1"/>
    <col min="5" max="5" width="3" bestFit="1" customWidth="1"/>
    <col min="6" max="22" width="2" bestFit="1" customWidth="1"/>
    <col min="23" max="23" width="3" bestFit="1" customWidth="1"/>
    <col min="25" max="25" width="20.28515625" customWidth="1"/>
    <col min="26" max="26" width="16.28515625" customWidth="1"/>
    <col min="30" max="30" width="8.85546875" style="12"/>
    <col min="31" max="32" width="11" bestFit="1" customWidth="1"/>
    <col min="33" max="33" width="23.7109375" bestFit="1" customWidth="1"/>
    <col min="34" max="34" width="27.5703125" bestFit="1" customWidth="1"/>
    <col min="35" max="35" width="19" bestFit="1" customWidth="1"/>
    <col min="36" max="36" width="19.140625" customWidth="1"/>
  </cols>
  <sheetData>
    <row r="1" spans="2:37" x14ac:dyDescent="0.25">
      <c r="B1" s="8" t="s">
        <v>41</v>
      </c>
      <c r="E1" s="8" t="s">
        <v>40</v>
      </c>
    </row>
    <row r="2" spans="2:37" x14ac:dyDescent="0.25">
      <c r="B2" t="s">
        <v>15</v>
      </c>
      <c r="C2" t="s">
        <v>14</v>
      </c>
    </row>
    <row r="3" spans="2:37" x14ac:dyDescent="0.25">
      <c r="B3" t="s">
        <v>16</v>
      </c>
      <c r="C3" t="s">
        <v>19</v>
      </c>
      <c r="Y3" t="s">
        <v>24</v>
      </c>
      <c r="Z3">
        <v>36</v>
      </c>
    </row>
    <row r="4" spans="2:37" x14ac:dyDescent="0.25">
      <c r="C4" t="s">
        <v>20</v>
      </c>
      <c r="E4" t="s">
        <v>24</v>
      </c>
      <c r="F4">
        <v>9</v>
      </c>
      <c r="G4">
        <v>8</v>
      </c>
      <c r="H4">
        <v>7</v>
      </c>
      <c r="I4" s="8">
        <v>6</v>
      </c>
      <c r="J4">
        <v>5</v>
      </c>
      <c r="K4">
        <v>4</v>
      </c>
      <c r="L4">
        <v>3</v>
      </c>
      <c r="M4">
        <v>2</v>
      </c>
      <c r="N4">
        <v>1</v>
      </c>
      <c r="O4">
        <v>2</v>
      </c>
      <c r="P4">
        <v>3</v>
      </c>
      <c r="Q4">
        <v>4</v>
      </c>
      <c r="R4">
        <v>5</v>
      </c>
      <c r="S4">
        <v>6</v>
      </c>
      <c r="T4">
        <v>7</v>
      </c>
      <c r="U4">
        <v>8</v>
      </c>
      <c r="V4">
        <v>9</v>
      </c>
      <c r="W4" t="s">
        <v>26</v>
      </c>
      <c r="Y4" t="s">
        <v>26</v>
      </c>
      <c r="Z4">
        <v>7</v>
      </c>
    </row>
    <row r="5" spans="2:37" x14ac:dyDescent="0.25">
      <c r="B5" t="s">
        <v>18</v>
      </c>
      <c r="C5" t="s">
        <v>21</v>
      </c>
      <c r="E5" t="s">
        <v>24</v>
      </c>
      <c r="F5">
        <v>9</v>
      </c>
      <c r="G5" s="8">
        <v>8</v>
      </c>
      <c r="H5">
        <v>7</v>
      </c>
      <c r="I5">
        <v>6</v>
      </c>
      <c r="J5">
        <v>5</v>
      </c>
      <c r="K5">
        <v>4</v>
      </c>
      <c r="L5">
        <v>3</v>
      </c>
      <c r="M5">
        <v>2</v>
      </c>
      <c r="N5">
        <v>1</v>
      </c>
      <c r="O5">
        <v>2</v>
      </c>
      <c r="P5">
        <v>3</v>
      </c>
      <c r="Q5">
        <v>4</v>
      </c>
      <c r="R5">
        <v>5</v>
      </c>
      <c r="S5">
        <v>6</v>
      </c>
      <c r="T5">
        <v>7</v>
      </c>
      <c r="U5">
        <v>8</v>
      </c>
      <c r="V5">
        <v>9</v>
      </c>
      <c r="W5" t="s">
        <v>25</v>
      </c>
      <c r="Y5" t="s">
        <v>25</v>
      </c>
      <c r="Z5">
        <v>3</v>
      </c>
    </row>
    <row r="6" spans="2:37" x14ac:dyDescent="0.25">
      <c r="C6" t="s">
        <v>22</v>
      </c>
      <c r="E6" t="s">
        <v>26</v>
      </c>
      <c r="F6">
        <v>9</v>
      </c>
      <c r="G6">
        <v>8</v>
      </c>
      <c r="H6">
        <v>7</v>
      </c>
      <c r="I6">
        <v>6</v>
      </c>
      <c r="J6">
        <v>5</v>
      </c>
      <c r="K6">
        <v>4</v>
      </c>
      <c r="L6">
        <v>3</v>
      </c>
      <c r="M6" s="8">
        <v>2</v>
      </c>
      <c r="N6">
        <v>1</v>
      </c>
      <c r="O6">
        <v>2</v>
      </c>
      <c r="P6">
        <v>3</v>
      </c>
      <c r="Q6">
        <v>4</v>
      </c>
      <c r="R6">
        <v>5</v>
      </c>
      <c r="S6">
        <v>6</v>
      </c>
      <c r="T6">
        <v>7</v>
      </c>
      <c r="U6">
        <v>8</v>
      </c>
      <c r="V6">
        <v>9</v>
      </c>
      <c r="W6" t="s">
        <v>25</v>
      </c>
      <c r="Y6" t="s">
        <v>27</v>
      </c>
      <c r="Z6">
        <f>Z3/SUM($Z$3:$Z$5)</f>
        <v>0.78260869565217395</v>
      </c>
    </row>
    <row r="7" spans="2:37" x14ac:dyDescent="0.25">
      <c r="C7" t="s">
        <v>23</v>
      </c>
      <c r="Y7" t="s">
        <v>28</v>
      </c>
      <c r="Z7">
        <f>Z4/SUM($Z$3:$Z$5)</f>
        <v>0.15217391304347827</v>
      </c>
    </row>
    <row r="8" spans="2:37" x14ac:dyDescent="0.25">
      <c r="B8" t="s">
        <v>17</v>
      </c>
      <c r="E8" t="s">
        <v>24</v>
      </c>
      <c r="F8">
        <v>9</v>
      </c>
      <c r="G8">
        <v>8</v>
      </c>
      <c r="H8">
        <v>7</v>
      </c>
      <c r="I8" s="15">
        <v>6</v>
      </c>
      <c r="J8">
        <v>5</v>
      </c>
      <c r="K8">
        <v>4</v>
      </c>
      <c r="L8" s="8">
        <v>3</v>
      </c>
      <c r="M8">
        <v>2</v>
      </c>
      <c r="N8">
        <v>1</v>
      </c>
      <c r="O8">
        <v>2</v>
      </c>
      <c r="P8">
        <v>3</v>
      </c>
      <c r="Q8">
        <v>4</v>
      </c>
      <c r="R8">
        <v>5</v>
      </c>
      <c r="S8">
        <v>6</v>
      </c>
      <c r="T8">
        <v>7</v>
      </c>
      <c r="U8">
        <v>8</v>
      </c>
      <c r="V8">
        <v>9</v>
      </c>
      <c r="W8" t="s">
        <v>26</v>
      </c>
      <c r="Y8" t="s">
        <v>29</v>
      </c>
      <c r="Z8">
        <f>Z5/SUM($Z$3:$Z$5)</f>
        <v>6.5217391304347824E-2</v>
      </c>
    </row>
    <row r="9" spans="2:37" x14ac:dyDescent="0.25">
      <c r="E9" t="s">
        <v>24</v>
      </c>
      <c r="F9">
        <v>9</v>
      </c>
      <c r="G9" s="15">
        <v>8</v>
      </c>
      <c r="H9">
        <v>7</v>
      </c>
      <c r="I9">
        <v>6</v>
      </c>
      <c r="J9" s="8">
        <v>5</v>
      </c>
      <c r="K9">
        <v>4</v>
      </c>
      <c r="L9">
        <v>3</v>
      </c>
      <c r="M9">
        <v>2</v>
      </c>
      <c r="N9">
        <v>1</v>
      </c>
      <c r="O9">
        <v>2</v>
      </c>
      <c r="P9">
        <v>3</v>
      </c>
      <c r="Q9">
        <v>4</v>
      </c>
      <c r="R9">
        <v>5</v>
      </c>
      <c r="S9">
        <v>6</v>
      </c>
      <c r="T9">
        <v>7</v>
      </c>
      <c r="U9">
        <v>8</v>
      </c>
      <c r="V9">
        <v>9</v>
      </c>
      <c r="W9" t="s">
        <v>25</v>
      </c>
    </row>
    <row r="10" spans="2:37" x14ac:dyDescent="0.25">
      <c r="B10">
        <v>60</v>
      </c>
      <c r="C10">
        <v>30</v>
      </c>
      <c r="E10" t="s">
        <v>26</v>
      </c>
      <c r="F10">
        <v>9</v>
      </c>
      <c r="G10">
        <v>8</v>
      </c>
      <c r="H10">
        <v>7</v>
      </c>
      <c r="I10">
        <v>6</v>
      </c>
      <c r="J10">
        <v>5</v>
      </c>
      <c r="K10">
        <v>4</v>
      </c>
      <c r="L10">
        <v>3</v>
      </c>
      <c r="M10" s="15">
        <v>2</v>
      </c>
      <c r="N10" s="8">
        <v>1</v>
      </c>
      <c r="O10">
        <v>2</v>
      </c>
      <c r="P10">
        <v>3</v>
      </c>
      <c r="Q10">
        <v>4</v>
      </c>
      <c r="R10">
        <v>5</v>
      </c>
      <c r="S10">
        <v>6</v>
      </c>
      <c r="T10">
        <v>7</v>
      </c>
      <c r="U10">
        <v>8</v>
      </c>
      <c r="V10">
        <v>9</v>
      </c>
      <c r="W10" t="s">
        <v>25</v>
      </c>
      <c r="Y10" t="s">
        <v>30</v>
      </c>
      <c r="Z10">
        <f>SUM(Z6:Z8)</f>
        <v>1</v>
      </c>
    </row>
    <row r="11" spans="2:37" x14ac:dyDescent="0.25">
      <c r="B11">
        <v>30</v>
      </c>
      <c r="C11" s="12">
        <v>70</v>
      </c>
    </row>
    <row r="12" spans="2:37" x14ac:dyDescent="0.25">
      <c r="B12">
        <v>10</v>
      </c>
      <c r="C12">
        <f>B13*(C10/100)</f>
        <v>0.18</v>
      </c>
      <c r="E12" t="s">
        <v>24</v>
      </c>
      <c r="F12">
        <v>9</v>
      </c>
      <c r="G12" s="8">
        <v>8</v>
      </c>
      <c r="H12">
        <v>7</v>
      </c>
      <c r="I12" s="15">
        <v>6</v>
      </c>
      <c r="J12">
        <v>5</v>
      </c>
      <c r="K12">
        <v>4</v>
      </c>
      <c r="L12">
        <v>3</v>
      </c>
      <c r="M12">
        <v>2</v>
      </c>
      <c r="N12">
        <v>1</v>
      </c>
      <c r="O12">
        <v>2</v>
      </c>
      <c r="P12">
        <v>3</v>
      </c>
      <c r="Q12">
        <v>4</v>
      </c>
      <c r="R12">
        <v>5</v>
      </c>
      <c r="S12">
        <v>6</v>
      </c>
      <c r="T12">
        <v>7</v>
      </c>
      <c r="U12">
        <v>8</v>
      </c>
      <c r="V12">
        <v>9</v>
      </c>
      <c r="W12" t="s">
        <v>26</v>
      </c>
    </row>
    <row r="13" spans="2:37" x14ac:dyDescent="0.25">
      <c r="B13">
        <f>B10/($B$10+$B$11+$B$12)</f>
        <v>0.6</v>
      </c>
      <c r="C13">
        <f>B13*(C11/100)</f>
        <v>0.42</v>
      </c>
      <c r="E13" t="s">
        <v>24</v>
      </c>
      <c r="F13">
        <v>9</v>
      </c>
      <c r="G13" s="15">
        <v>8</v>
      </c>
      <c r="H13" s="8">
        <v>7</v>
      </c>
      <c r="I13">
        <v>6</v>
      </c>
      <c r="J13">
        <v>5</v>
      </c>
      <c r="K13">
        <v>4</v>
      </c>
      <c r="L13">
        <v>3</v>
      </c>
      <c r="M13">
        <v>2</v>
      </c>
      <c r="N13">
        <v>1</v>
      </c>
      <c r="O13">
        <v>2</v>
      </c>
      <c r="P13">
        <v>3</v>
      </c>
      <c r="Q13">
        <v>4</v>
      </c>
      <c r="R13">
        <v>5</v>
      </c>
      <c r="S13">
        <v>6</v>
      </c>
      <c r="T13">
        <v>7</v>
      </c>
      <c r="U13">
        <v>8</v>
      </c>
      <c r="V13">
        <v>9</v>
      </c>
      <c r="W13" t="s">
        <v>25</v>
      </c>
      <c r="AE13" s="8" t="s">
        <v>48</v>
      </c>
    </row>
    <row r="14" spans="2:37" ht="45" x14ac:dyDescent="0.25">
      <c r="B14">
        <f t="shared" ref="B14:B15" si="0">B11/($B$10+$B$11+$B$12)</f>
        <v>0.3</v>
      </c>
      <c r="E14" t="s">
        <v>26</v>
      </c>
      <c r="F14">
        <v>9</v>
      </c>
      <c r="G14">
        <v>8</v>
      </c>
      <c r="H14">
        <v>7</v>
      </c>
      <c r="I14">
        <v>6</v>
      </c>
      <c r="J14">
        <v>5</v>
      </c>
      <c r="K14">
        <v>4</v>
      </c>
      <c r="L14">
        <v>3</v>
      </c>
      <c r="M14" s="15">
        <v>2</v>
      </c>
      <c r="N14">
        <v>1</v>
      </c>
      <c r="O14">
        <v>2</v>
      </c>
      <c r="P14">
        <v>3</v>
      </c>
      <c r="Q14">
        <v>4</v>
      </c>
      <c r="R14">
        <v>5</v>
      </c>
      <c r="S14" s="8">
        <v>6</v>
      </c>
      <c r="T14">
        <v>7</v>
      </c>
      <c r="U14">
        <v>8</v>
      </c>
      <c r="V14">
        <v>9</v>
      </c>
      <c r="W14" t="s">
        <v>25</v>
      </c>
      <c r="Y14" s="8" t="s">
        <v>39</v>
      </c>
      <c r="AE14" s="18" t="s">
        <v>16</v>
      </c>
      <c r="AF14" s="19"/>
      <c r="AG14" s="18" t="s">
        <v>18</v>
      </c>
      <c r="AH14" s="20"/>
      <c r="AI14" s="19"/>
      <c r="AJ14" s="11" t="s">
        <v>17</v>
      </c>
    </row>
    <row r="15" spans="2:37" ht="40.15" customHeight="1" x14ac:dyDescent="0.25">
      <c r="B15">
        <f t="shared" si="0"/>
        <v>0.1</v>
      </c>
      <c r="Y15" t="s">
        <v>36</v>
      </c>
      <c r="Z15" t="s">
        <v>37</v>
      </c>
      <c r="AA15" t="s">
        <v>38</v>
      </c>
      <c r="AB15" t="s">
        <v>47</v>
      </c>
      <c r="AE15" s="9" t="s">
        <v>19</v>
      </c>
      <c r="AF15" s="10" t="s">
        <v>20</v>
      </c>
      <c r="AG15" s="9" t="s">
        <v>21</v>
      </c>
      <c r="AH15" s="10" t="s">
        <v>22</v>
      </c>
      <c r="AI15" s="9" t="s">
        <v>23</v>
      </c>
      <c r="AJ15" s="6"/>
      <c r="AK15" t="s">
        <v>30</v>
      </c>
    </row>
    <row r="16" spans="2:37" x14ac:dyDescent="0.25">
      <c r="Y16" t="s">
        <v>31</v>
      </c>
      <c r="Z16" s="7">
        <v>0</v>
      </c>
      <c r="AA16">
        <f>Z16/SUM($Z$16:$Z$20)</f>
        <v>0</v>
      </c>
      <c r="AB16">
        <f>Table3[[#This Row],[Priority]]*2</f>
        <v>0</v>
      </c>
      <c r="AE16" t="s">
        <v>49</v>
      </c>
      <c r="AF16" t="s">
        <v>50</v>
      </c>
      <c r="AG16" t="s">
        <v>51</v>
      </c>
      <c r="AH16" t="s">
        <v>52</v>
      </c>
      <c r="AI16" t="s">
        <v>53</v>
      </c>
      <c r="AJ16" t="s">
        <v>54</v>
      </c>
      <c r="AK16" t="s">
        <v>55</v>
      </c>
    </row>
    <row r="17" spans="2:37" x14ac:dyDescent="0.25">
      <c r="Y17" t="s">
        <v>32</v>
      </c>
      <c r="Z17" s="7">
        <v>10</v>
      </c>
      <c r="AA17">
        <f>Z17/SUM($Z$16:$Z$20)</f>
        <v>0.05</v>
      </c>
      <c r="AB17">
        <f>Table3[[#This Row],[Priority]]*2</f>
        <v>0.1</v>
      </c>
      <c r="AD17" s="12" t="s">
        <v>42</v>
      </c>
      <c r="AE17" s="4" t="s">
        <v>35</v>
      </c>
      <c r="AF17" s="4" t="s">
        <v>35</v>
      </c>
      <c r="AG17" s="4" t="s">
        <v>35</v>
      </c>
      <c r="AH17" s="4" t="s">
        <v>35</v>
      </c>
      <c r="AI17" s="4" t="s">
        <v>35</v>
      </c>
      <c r="AJ17" s="4" t="s">
        <v>35</v>
      </c>
      <c r="AK17">
        <v>1</v>
      </c>
    </row>
    <row r="18" spans="2:37" x14ac:dyDescent="0.25">
      <c r="Y18" t="s">
        <v>33</v>
      </c>
      <c r="Z18" s="7">
        <v>30</v>
      </c>
      <c r="AA18">
        <f>Z18/SUM($Z$16:$Z$20)</f>
        <v>0.15</v>
      </c>
      <c r="AB18">
        <f>Table3[[#This Row],[Priority]]*2</f>
        <v>0.3</v>
      </c>
      <c r="AD18" s="12" t="s">
        <v>43</v>
      </c>
      <c r="AE18" s="4" t="s">
        <v>33</v>
      </c>
      <c r="AF18" s="4" t="s">
        <v>35</v>
      </c>
      <c r="AG18" s="4" t="s">
        <v>33</v>
      </c>
      <c r="AH18" s="4" t="s">
        <v>35</v>
      </c>
      <c r="AI18" s="4" t="s">
        <v>33</v>
      </c>
      <c r="AJ18" s="4" t="s">
        <v>35</v>
      </c>
      <c r="AK18">
        <v>0.76227999999999996</v>
      </c>
    </row>
    <row r="19" spans="2:37" x14ac:dyDescent="0.25">
      <c r="C19" s="7"/>
      <c r="Y19" t="s">
        <v>34</v>
      </c>
      <c r="Z19" s="7">
        <v>60</v>
      </c>
      <c r="AA19">
        <f>Z19/SUM($Z$16:$Z$20)</f>
        <v>0.3</v>
      </c>
      <c r="AB19">
        <f>Table3[[#This Row],[Priority]]*2</f>
        <v>0.6</v>
      </c>
      <c r="AD19" s="12" t="s">
        <v>44</v>
      </c>
      <c r="AE19" s="4" t="s">
        <v>35</v>
      </c>
      <c r="AF19" s="4" t="s">
        <v>33</v>
      </c>
      <c r="AG19" s="4" t="s">
        <v>35</v>
      </c>
      <c r="AH19" s="4" t="s">
        <v>33</v>
      </c>
      <c r="AI19" s="4" t="s">
        <v>35</v>
      </c>
      <c r="AJ19" s="4" t="s">
        <v>33</v>
      </c>
      <c r="AK19">
        <v>0.53771999999999998</v>
      </c>
    </row>
    <row r="20" spans="2:37" x14ac:dyDescent="0.25">
      <c r="Y20" t="s">
        <v>35</v>
      </c>
      <c r="Z20" s="7">
        <v>100</v>
      </c>
      <c r="AA20">
        <f>Z20/SUM($Z$16:$Z$20)</f>
        <v>0.5</v>
      </c>
      <c r="AB20">
        <f>Table3[[#This Row],[Priority]]*2</f>
        <v>1</v>
      </c>
      <c r="AD20" s="12" t="s">
        <v>45</v>
      </c>
      <c r="AE20" s="5" t="s">
        <v>34</v>
      </c>
      <c r="AF20" s="5" t="s">
        <v>34</v>
      </c>
      <c r="AG20" s="5" t="s">
        <v>34</v>
      </c>
      <c r="AH20" s="5" t="s">
        <v>34</v>
      </c>
      <c r="AI20" s="5" t="s">
        <v>34</v>
      </c>
      <c r="AJ20" s="5" t="s">
        <v>34</v>
      </c>
      <c r="AK20">
        <v>0.6</v>
      </c>
    </row>
    <row r="21" spans="2:37" x14ac:dyDescent="0.25">
      <c r="B21" s="8" t="s">
        <v>41</v>
      </c>
      <c r="Z21" s="7"/>
      <c r="AA21">
        <f>SUM(Table3[Priority])</f>
        <v>1</v>
      </c>
      <c r="AB21">
        <f>SUM(Table3[[Nominal Value ]])</f>
        <v>2</v>
      </c>
      <c r="AD21" s="12" t="s">
        <v>46</v>
      </c>
      <c r="AE21" s="4" t="s">
        <v>31</v>
      </c>
      <c r="AF21" s="5" t="s">
        <v>32</v>
      </c>
      <c r="AG21" s="4" t="s">
        <v>33</v>
      </c>
      <c r="AH21" s="5" t="s">
        <v>34</v>
      </c>
      <c r="AI21" s="4" t="s">
        <v>35</v>
      </c>
      <c r="AJ21" s="4" t="s">
        <v>33</v>
      </c>
      <c r="AK21">
        <v>0.28444000000000003</v>
      </c>
    </row>
    <row r="22" spans="2:37" x14ac:dyDescent="0.25">
      <c r="B22" t="s">
        <v>15</v>
      </c>
      <c r="C22" t="s">
        <v>14</v>
      </c>
    </row>
    <row r="23" spans="2:37" x14ac:dyDescent="0.25">
      <c r="B23" t="s">
        <v>16</v>
      </c>
      <c r="C23" t="s">
        <v>19</v>
      </c>
    </row>
    <row r="24" spans="2:37" x14ac:dyDescent="0.25">
      <c r="C24" t="s">
        <v>20</v>
      </c>
    </row>
    <row r="25" spans="2:37" x14ac:dyDescent="0.25">
      <c r="B25" t="s">
        <v>79</v>
      </c>
      <c r="AE25">
        <f>VLOOKUP(AE17,Table3[],4,FALSE)*AE$16</f>
        <v>0.156</v>
      </c>
      <c r="AF25">
        <f>VLOOKUP(AF17,Table3[],4,FALSE)*AF$16</f>
        <v>0.36399999999999999</v>
      </c>
      <c r="AG25">
        <f>VLOOKUP(AG17,Table3[],4,FALSE)*AG$16</f>
        <v>0.10199999999999999</v>
      </c>
      <c r="AH25">
        <f>VLOOKUP(AH17,Table3[],4,FALSE)*AH$16</f>
        <v>0.15640000000000001</v>
      </c>
      <c r="AI25">
        <f>VLOOKUP(AI17,Table3[],4,FALSE)*AI$16</f>
        <v>8.1600000000000006E-2</v>
      </c>
      <c r="AJ25">
        <f>VLOOKUP(AJ17,Table3[],4,FALSE)*AJ$16</f>
        <v>0.14000000000000001</v>
      </c>
      <c r="AK25" s="1">
        <f>SUM(AE25:AJ25)</f>
        <v>1</v>
      </c>
    </row>
    <row r="26" spans="2:37" x14ac:dyDescent="0.25">
      <c r="AE26">
        <f>VLOOKUP(AE18,Table3[],4,FALSE)*AE$16</f>
        <v>4.6800000000000001E-2</v>
      </c>
      <c r="AF26">
        <f>VLOOKUP(AF18,Table3[],4,FALSE)*AF$16</f>
        <v>0.36399999999999999</v>
      </c>
      <c r="AG26">
        <f>VLOOKUP(AG18,Table3[],4,FALSE)*AG$16</f>
        <v>3.0599999999999995E-2</v>
      </c>
      <c r="AH26">
        <f>VLOOKUP(AH18,Table3[],4,FALSE)*AH$16</f>
        <v>0.15640000000000001</v>
      </c>
      <c r="AI26">
        <f>VLOOKUP(AI18,Table3[],4,FALSE)*AI$16</f>
        <v>2.4480000000000002E-2</v>
      </c>
      <c r="AJ26">
        <f>VLOOKUP(AJ18,Table3[],4,FALSE)*AJ$16</f>
        <v>0.14000000000000001</v>
      </c>
      <c r="AK26" s="1">
        <f t="shared" ref="AK26:AK29" si="1">SUM(AE26:AJ26)</f>
        <v>0.76227999999999996</v>
      </c>
    </row>
    <row r="27" spans="2:37" x14ac:dyDescent="0.25">
      <c r="AE27">
        <f>VLOOKUP(AE19,Table3[],4,FALSE)*AE$16</f>
        <v>0.156</v>
      </c>
      <c r="AF27">
        <f>VLOOKUP(AF19,Table3[],4,FALSE)*AF$16</f>
        <v>0.10919999999999999</v>
      </c>
      <c r="AG27">
        <f>VLOOKUP(AG19,Table3[],4,FALSE)*AG$16</f>
        <v>0.10199999999999999</v>
      </c>
      <c r="AH27">
        <f>VLOOKUP(AH19,Table3[],4,FALSE)*AH$16</f>
        <v>4.6920000000000003E-2</v>
      </c>
      <c r="AI27">
        <f>VLOOKUP(AI19,Table3[],4,FALSE)*AI$16</f>
        <v>8.1600000000000006E-2</v>
      </c>
      <c r="AJ27">
        <f>VLOOKUP(AJ19,Table3[],4,FALSE)*AJ$16</f>
        <v>4.2000000000000003E-2</v>
      </c>
      <c r="AK27" s="1">
        <f t="shared" si="1"/>
        <v>0.53771999999999998</v>
      </c>
    </row>
    <row r="28" spans="2:37" x14ac:dyDescent="0.25">
      <c r="AE28">
        <f>VLOOKUP(AE20,Table3[],4,FALSE)*AE$16</f>
        <v>9.3600000000000003E-2</v>
      </c>
      <c r="AF28">
        <f>VLOOKUP(AF20,Table3[],4,FALSE)*AF$16</f>
        <v>0.21839999999999998</v>
      </c>
      <c r="AG28">
        <f>VLOOKUP(AG20,Table3[],4,FALSE)*AG$16</f>
        <v>6.1199999999999991E-2</v>
      </c>
      <c r="AH28">
        <f>VLOOKUP(AH20,Table3[],4,FALSE)*AH$16</f>
        <v>9.3840000000000007E-2</v>
      </c>
      <c r="AI28">
        <f>VLOOKUP(AI20,Table3[],4,FALSE)*AI$16</f>
        <v>4.8960000000000004E-2</v>
      </c>
      <c r="AJ28">
        <f>VLOOKUP(AJ20,Table3[],4,FALSE)*AJ$16</f>
        <v>8.4000000000000005E-2</v>
      </c>
      <c r="AK28" s="1">
        <f t="shared" si="1"/>
        <v>0.6</v>
      </c>
    </row>
    <row r="29" spans="2:37" x14ac:dyDescent="0.25">
      <c r="AE29">
        <f>VLOOKUP(AE21,Table3[],4,FALSE)*AE$16</f>
        <v>0</v>
      </c>
      <c r="AF29">
        <f>VLOOKUP(AF21,Table3[],4,FALSE)*AF$16</f>
        <v>3.6400000000000002E-2</v>
      </c>
      <c r="AG29">
        <f>VLOOKUP(AG21,Table3[],4,FALSE)*AG$16</f>
        <v>3.0599999999999995E-2</v>
      </c>
      <c r="AH29">
        <f>VLOOKUP(AH21,Table3[],4,FALSE)*AH$16</f>
        <v>9.3840000000000007E-2</v>
      </c>
      <c r="AI29">
        <f>VLOOKUP(AI21,Table3[],4,FALSE)*AI$16</f>
        <v>8.1600000000000006E-2</v>
      </c>
      <c r="AJ29">
        <f>VLOOKUP(AJ21,Table3[],4,FALSE)*AJ$16</f>
        <v>4.2000000000000003E-2</v>
      </c>
      <c r="AK29" s="1">
        <f t="shared" si="1"/>
        <v>0.28444000000000003</v>
      </c>
    </row>
  </sheetData>
  <mergeCells count="2">
    <mergeCell ref="AE14:AF14"/>
    <mergeCell ref="AG14:AI14"/>
  </mergeCells>
  <pageMargins left="0.7" right="0.7" top="0.75" bottom="0.75" header="0.3" footer="0.3"/>
  <pageSetup orientation="portrait" horizontalDpi="90" verticalDpi="90" r:id="rId1"/>
  <tableParts count="4">
    <tablePart r:id="rId2"/>
    <tablePart r:id="rId3"/>
    <tablePart r:id="rId4"/>
    <tablePart r:id="rId5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5:I12"/>
  <sheetViews>
    <sheetView workbookViewId="0">
      <selection activeCell="F13" sqref="F13"/>
    </sheetView>
  </sheetViews>
  <sheetFormatPr defaultRowHeight="15" x14ac:dyDescent="0.25"/>
  <cols>
    <col min="5" max="5" width="9.85546875" bestFit="1" customWidth="1"/>
    <col min="6" max="6" width="10.140625" bestFit="1" customWidth="1"/>
  </cols>
  <sheetData>
    <row r="5" spans="4:9" x14ac:dyDescent="0.25">
      <c r="D5" t="s">
        <v>56</v>
      </c>
      <c r="E5" t="s">
        <v>77</v>
      </c>
      <c r="F5" t="s">
        <v>78</v>
      </c>
    </row>
    <row r="6" spans="4:9" x14ac:dyDescent="0.25">
      <c r="D6">
        <v>0</v>
      </c>
      <c r="E6" s="14">
        <v>-200000</v>
      </c>
      <c r="F6" s="14">
        <v>-200000</v>
      </c>
      <c r="I6" s="14"/>
    </row>
    <row r="7" spans="4:9" x14ac:dyDescent="0.25">
      <c r="D7">
        <v>1</v>
      </c>
      <c r="E7" s="14">
        <v>75000</v>
      </c>
      <c r="F7">
        <f>F6+E7</f>
        <v>-125000</v>
      </c>
      <c r="I7" s="14"/>
    </row>
    <row r="8" spans="4:9" x14ac:dyDescent="0.25">
      <c r="D8">
        <v>2</v>
      </c>
      <c r="E8" s="14">
        <v>75000</v>
      </c>
      <c r="F8">
        <f t="shared" ref="F8:F9" si="0">F7+E8</f>
        <v>-50000</v>
      </c>
      <c r="I8" s="14"/>
    </row>
    <row r="9" spans="4:9" x14ac:dyDescent="0.25">
      <c r="D9">
        <v>3</v>
      </c>
      <c r="E9" s="14">
        <v>75000</v>
      </c>
      <c r="F9">
        <f t="shared" si="0"/>
        <v>25000</v>
      </c>
    </row>
    <row r="12" spans="4:9" x14ac:dyDescent="0.25">
      <c r="F12" s="1">
        <f>3-F9/E9</f>
        <v>2.6666666666666665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K14"/>
  <sheetViews>
    <sheetView workbookViewId="0">
      <selection activeCell="E15" sqref="E15"/>
    </sheetView>
  </sheetViews>
  <sheetFormatPr defaultRowHeight="15" x14ac:dyDescent="0.25"/>
  <sheetData>
    <row r="2" spans="3:11" x14ac:dyDescent="0.25">
      <c r="E2" s="1"/>
      <c r="K2" s="1"/>
    </row>
    <row r="3" spans="3:11" x14ac:dyDescent="0.25">
      <c r="E3" s="1"/>
      <c r="K3" s="1"/>
    </row>
    <row r="4" spans="3:11" x14ac:dyDescent="0.25">
      <c r="C4" t="s">
        <v>6</v>
      </c>
      <c r="I4" t="s">
        <v>7</v>
      </c>
    </row>
    <row r="5" spans="3:11" x14ac:dyDescent="0.25">
      <c r="C5" t="s">
        <v>56</v>
      </c>
      <c r="D5" t="s">
        <v>57</v>
      </c>
      <c r="E5" t="s">
        <v>64</v>
      </c>
      <c r="I5" t="s">
        <v>56</v>
      </c>
      <c r="J5" t="s">
        <v>57</v>
      </c>
      <c r="K5" t="s">
        <v>64</v>
      </c>
    </row>
    <row r="6" spans="3:11" x14ac:dyDescent="0.25">
      <c r="C6">
        <v>0</v>
      </c>
      <c r="D6" s="14">
        <v>-250000</v>
      </c>
      <c r="E6" s="14">
        <v>-250000</v>
      </c>
      <c r="I6">
        <v>0</v>
      </c>
      <c r="J6" s="14">
        <v>-400000</v>
      </c>
      <c r="K6" s="14">
        <v>-400000</v>
      </c>
    </row>
    <row r="7" spans="3:11" x14ac:dyDescent="0.25">
      <c r="C7">
        <v>1</v>
      </c>
      <c r="D7">
        <v>50000</v>
      </c>
      <c r="E7">
        <f>E6+D7</f>
        <v>-200000</v>
      </c>
      <c r="I7">
        <v>1</v>
      </c>
      <c r="J7">
        <v>75000</v>
      </c>
      <c r="K7">
        <f>K6+J7</f>
        <v>-325000</v>
      </c>
    </row>
    <row r="8" spans="3:11" x14ac:dyDescent="0.25">
      <c r="C8">
        <v>2</v>
      </c>
      <c r="D8">
        <v>100000</v>
      </c>
      <c r="E8">
        <f>E7+D8</f>
        <v>-100000</v>
      </c>
      <c r="I8">
        <v>2</v>
      </c>
      <c r="J8">
        <v>250000</v>
      </c>
      <c r="K8">
        <f>K7+J8</f>
        <v>-75000</v>
      </c>
    </row>
    <row r="9" spans="3:11" x14ac:dyDescent="0.25">
      <c r="C9">
        <v>3</v>
      </c>
      <c r="D9">
        <v>100000</v>
      </c>
      <c r="E9">
        <f>E8+D9</f>
        <v>0</v>
      </c>
      <c r="I9">
        <v>3</v>
      </c>
      <c r="J9">
        <v>300000</v>
      </c>
      <c r="K9">
        <f>K8+J9</f>
        <v>225000</v>
      </c>
    </row>
    <row r="10" spans="3:11" x14ac:dyDescent="0.25">
      <c r="C10">
        <v>4</v>
      </c>
      <c r="D10">
        <v>200000</v>
      </c>
      <c r="E10">
        <f>E9+D10</f>
        <v>200000</v>
      </c>
    </row>
    <row r="11" spans="3:11" x14ac:dyDescent="0.25">
      <c r="C11">
        <v>5</v>
      </c>
      <c r="D11">
        <v>75000</v>
      </c>
      <c r="E11">
        <f>E10+D11</f>
        <v>275000</v>
      </c>
    </row>
    <row r="13" spans="3:11" x14ac:dyDescent="0.25">
      <c r="E13">
        <f>3-E9/D9</f>
        <v>3</v>
      </c>
      <c r="K13">
        <f>3-K9/J9</f>
        <v>2.25</v>
      </c>
    </row>
    <row r="14" spans="3:11" x14ac:dyDescent="0.25">
      <c r="E14" t="s">
        <v>76</v>
      </c>
      <c r="K14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:G11"/>
  <sheetViews>
    <sheetView workbookViewId="0">
      <selection activeCell="G3" sqref="G3"/>
    </sheetView>
  </sheetViews>
  <sheetFormatPr defaultRowHeight="15" x14ac:dyDescent="0.25"/>
  <sheetData>
    <row r="1" spans="5:7" x14ac:dyDescent="0.25">
      <c r="E1" s="21" t="s">
        <v>75</v>
      </c>
      <c r="F1" s="21"/>
      <c r="G1" s="21"/>
    </row>
    <row r="3" spans="5:7" x14ac:dyDescent="0.25">
      <c r="E3">
        <v>13513.513633625704</v>
      </c>
      <c r="F3">
        <v>0.11</v>
      </c>
      <c r="G3">
        <f>E3*(1+F3)</f>
        <v>15000.000133324533</v>
      </c>
    </row>
    <row r="7" spans="5:7" x14ac:dyDescent="0.25">
      <c r="E7">
        <f>G7/(1+F7)</f>
        <v>0.9009009009009008</v>
      </c>
      <c r="F7">
        <v>0.11</v>
      </c>
      <c r="G7">
        <v>1</v>
      </c>
    </row>
    <row r="11" spans="5:7" x14ac:dyDescent="0.25">
      <c r="E11">
        <v>8901.77</v>
      </c>
    </row>
  </sheetData>
  <mergeCells count="1">
    <mergeCell ref="E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:J13"/>
  <sheetViews>
    <sheetView workbookViewId="0">
      <selection activeCell="H12" sqref="H12"/>
    </sheetView>
  </sheetViews>
  <sheetFormatPr defaultRowHeight="15" x14ac:dyDescent="0.25"/>
  <cols>
    <col min="5" max="5" width="8.85546875" customWidth="1"/>
    <col min="6" max="7" width="8.140625" bestFit="1" customWidth="1"/>
    <col min="8" max="8" width="10.7109375" bestFit="1" customWidth="1"/>
    <col min="10" max="10" width="10.28515625" customWidth="1"/>
  </cols>
  <sheetData>
    <row r="1" spans="5:10" x14ac:dyDescent="0.25">
      <c r="E1" t="s">
        <v>62</v>
      </c>
    </row>
    <row r="2" spans="5:10" x14ac:dyDescent="0.25">
      <c r="F2" t="s">
        <v>60</v>
      </c>
      <c r="G2">
        <v>0.03</v>
      </c>
    </row>
    <row r="3" spans="5:10" x14ac:dyDescent="0.25">
      <c r="F3" t="s">
        <v>61</v>
      </c>
      <c r="G3">
        <v>0.08</v>
      </c>
    </row>
    <row r="5" spans="5:10" x14ac:dyDescent="0.25">
      <c r="E5" t="s">
        <v>56</v>
      </c>
      <c r="F5" t="s">
        <v>57</v>
      </c>
      <c r="G5" t="s">
        <v>58</v>
      </c>
      <c r="H5" t="s">
        <v>59</v>
      </c>
    </row>
    <row r="6" spans="5:10" x14ac:dyDescent="0.25">
      <c r="E6">
        <v>0</v>
      </c>
      <c r="F6" s="14">
        <v>-60000</v>
      </c>
      <c r="G6">
        <f t="shared" ref="G6:G11" si="0">1/(1+$G$2+$G$3)^E6</f>
        <v>1</v>
      </c>
      <c r="H6">
        <f>F6*G6</f>
        <v>-60000</v>
      </c>
    </row>
    <row r="7" spans="5:10" x14ac:dyDescent="0.25">
      <c r="E7">
        <v>1</v>
      </c>
      <c r="F7">
        <v>15000</v>
      </c>
      <c r="G7">
        <f t="shared" si="0"/>
        <v>0.9009009009009008</v>
      </c>
      <c r="H7">
        <f t="shared" ref="H7:H11" si="1">F7*G7</f>
        <v>13513.513513513511</v>
      </c>
    </row>
    <row r="8" spans="5:10" x14ac:dyDescent="0.25">
      <c r="E8">
        <v>2</v>
      </c>
      <c r="F8">
        <v>15000</v>
      </c>
      <c r="G8">
        <f t="shared" si="0"/>
        <v>0.8116224332440547</v>
      </c>
      <c r="H8">
        <f t="shared" si="1"/>
        <v>12174.336498660821</v>
      </c>
    </row>
    <row r="9" spans="5:10" x14ac:dyDescent="0.25">
      <c r="E9">
        <v>3</v>
      </c>
      <c r="F9">
        <v>15000</v>
      </c>
      <c r="G9">
        <f t="shared" si="0"/>
        <v>0.73119138130095018</v>
      </c>
      <c r="H9">
        <f t="shared" si="1"/>
        <v>10967.870719514252</v>
      </c>
    </row>
    <row r="10" spans="5:10" x14ac:dyDescent="0.25">
      <c r="E10">
        <v>4</v>
      </c>
      <c r="F10">
        <v>15000</v>
      </c>
      <c r="G10">
        <f t="shared" si="0"/>
        <v>0.65873097414500015</v>
      </c>
      <c r="H10">
        <f t="shared" si="1"/>
        <v>9880.9646121750029</v>
      </c>
    </row>
    <row r="11" spans="5:10" x14ac:dyDescent="0.25">
      <c r="E11">
        <v>5</v>
      </c>
      <c r="F11">
        <v>15000</v>
      </c>
      <c r="G11">
        <f t="shared" si="0"/>
        <v>0.5934513280585586</v>
      </c>
      <c r="H11">
        <f t="shared" si="1"/>
        <v>8901.7699208783797</v>
      </c>
    </row>
    <row r="13" spans="5:10" x14ac:dyDescent="0.25">
      <c r="H13">
        <f>SUM(H6:H11)</f>
        <v>-4561.5447352580304</v>
      </c>
      <c r="J13" s="13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:J13"/>
  <sheetViews>
    <sheetView workbookViewId="0">
      <selection activeCell="J14" sqref="J14"/>
    </sheetView>
  </sheetViews>
  <sheetFormatPr defaultRowHeight="15" x14ac:dyDescent="0.25"/>
  <sheetData>
    <row r="1" spans="5:10" x14ac:dyDescent="0.25">
      <c r="E1" t="s">
        <v>62</v>
      </c>
      <c r="J1" t="s">
        <v>63</v>
      </c>
    </row>
    <row r="2" spans="5:10" x14ac:dyDescent="0.25">
      <c r="F2" t="s">
        <v>60</v>
      </c>
      <c r="G2">
        <v>0.03</v>
      </c>
      <c r="J2">
        <f>G3+G2</f>
        <v>0.11</v>
      </c>
    </row>
    <row r="3" spans="5:10" x14ac:dyDescent="0.25">
      <c r="F3" t="s">
        <v>61</v>
      </c>
      <c r="G3">
        <v>0.08</v>
      </c>
    </row>
    <row r="5" spans="5:10" x14ac:dyDescent="0.25">
      <c r="E5" t="s">
        <v>56</v>
      </c>
      <c r="F5" t="s">
        <v>57</v>
      </c>
      <c r="G5" t="s">
        <v>58</v>
      </c>
      <c r="H5" t="s">
        <v>59</v>
      </c>
    </row>
    <row r="6" spans="5:10" x14ac:dyDescent="0.25">
      <c r="E6">
        <v>0</v>
      </c>
      <c r="F6" s="14">
        <v>-60000</v>
      </c>
      <c r="G6">
        <f>1/(1+$G$2+$G$3)^E6</f>
        <v>1</v>
      </c>
      <c r="H6">
        <f>F6*G6</f>
        <v>-60000</v>
      </c>
    </row>
    <row r="7" spans="5:10" x14ac:dyDescent="0.25">
      <c r="E7">
        <v>1</v>
      </c>
      <c r="F7">
        <v>15000</v>
      </c>
      <c r="G7">
        <f t="shared" ref="G7:G11" si="0">1/(1+$G$2+$G$3)^E7</f>
        <v>0.9009009009009008</v>
      </c>
      <c r="H7">
        <f t="shared" ref="H7:H11" si="1">F7*G7</f>
        <v>13513.513513513511</v>
      </c>
    </row>
    <row r="8" spans="5:10" x14ac:dyDescent="0.25">
      <c r="E8">
        <v>2</v>
      </c>
      <c r="F8">
        <v>15000</v>
      </c>
      <c r="G8">
        <f t="shared" si="0"/>
        <v>0.8116224332440547</v>
      </c>
      <c r="H8">
        <f t="shared" si="1"/>
        <v>12174.336498660821</v>
      </c>
    </row>
    <row r="9" spans="5:10" x14ac:dyDescent="0.25">
      <c r="E9">
        <v>3</v>
      </c>
      <c r="F9">
        <v>15000</v>
      </c>
      <c r="G9">
        <f t="shared" si="0"/>
        <v>0.73119138130095018</v>
      </c>
      <c r="H9">
        <f t="shared" si="1"/>
        <v>10967.870719514252</v>
      </c>
    </row>
    <row r="10" spans="5:10" x14ac:dyDescent="0.25">
      <c r="E10">
        <v>4</v>
      </c>
      <c r="F10">
        <v>15000</v>
      </c>
      <c r="G10">
        <f t="shared" si="0"/>
        <v>0.65873097414500015</v>
      </c>
      <c r="H10">
        <f t="shared" si="1"/>
        <v>9880.9646121750029</v>
      </c>
    </row>
    <row r="11" spans="5:10" x14ac:dyDescent="0.25">
      <c r="E11">
        <v>5</v>
      </c>
      <c r="F11">
        <v>15000</v>
      </c>
      <c r="G11">
        <f t="shared" si="0"/>
        <v>0.5934513280585586</v>
      </c>
      <c r="H11">
        <f t="shared" si="1"/>
        <v>8901.7699208783797</v>
      </c>
    </row>
    <row r="13" spans="5:10" x14ac:dyDescent="0.25">
      <c r="H13">
        <f>SUM(H6:H11)</f>
        <v>-4561.5447352580304</v>
      </c>
      <c r="J13" s="13">
        <f>NPV(J2,F7:F11)+F6</f>
        <v>-4561.5447352580304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M13"/>
  <sheetViews>
    <sheetView workbookViewId="0">
      <selection activeCell="I6" sqref="I6"/>
    </sheetView>
  </sheetViews>
  <sheetFormatPr defaultRowHeight="15" x14ac:dyDescent="0.25"/>
  <sheetData>
    <row r="1" spans="3:13" x14ac:dyDescent="0.25">
      <c r="C1" t="s">
        <v>62</v>
      </c>
      <c r="J1" t="s">
        <v>62</v>
      </c>
    </row>
    <row r="2" spans="3:13" x14ac:dyDescent="0.25">
      <c r="D2" t="s">
        <v>61</v>
      </c>
      <c r="E2" s="1">
        <v>0.15</v>
      </c>
      <c r="K2" t="s">
        <v>61</v>
      </c>
      <c r="L2" s="1">
        <v>0.15</v>
      </c>
    </row>
    <row r="3" spans="3:13" x14ac:dyDescent="0.25">
      <c r="D3" t="s">
        <v>60</v>
      </c>
      <c r="E3" s="1">
        <v>0.03</v>
      </c>
      <c r="K3" t="s">
        <v>60</v>
      </c>
      <c r="L3" s="1">
        <v>0.03</v>
      </c>
    </row>
    <row r="5" spans="3:13" x14ac:dyDescent="0.25">
      <c r="C5" t="s">
        <v>56</v>
      </c>
      <c r="D5" t="s">
        <v>57</v>
      </c>
      <c r="E5" t="s">
        <v>58</v>
      </c>
      <c r="F5" t="s">
        <v>59</v>
      </c>
      <c r="J5" t="s">
        <v>56</v>
      </c>
      <c r="K5" t="s">
        <v>57</v>
      </c>
      <c r="L5" t="s">
        <v>58</v>
      </c>
      <c r="M5" t="s">
        <v>59</v>
      </c>
    </row>
    <row r="6" spans="3:13" x14ac:dyDescent="0.25">
      <c r="C6">
        <v>0</v>
      </c>
      <c r="D6" s="14">
        <v>-250000</v>
      </c>
      <c r="E6">
        <f>1/(1+$E$2+$E$3)^C6</f>
        <v>1</v>
      </c>
      <c r="F6">
        <f>D6*E6</f>
        <v>-250000</v>
      </c>
      <c r="J6">
        <v>0</v>
      </c>
      <c r="K6" s="14">
        <v>-400000</v>
      </c>
      <c r="L6">
        <f>1/(1+$E$2+$E$3)^J6</f>
        <v>1</v>
      </c>
      <c r="M6">
        <f>K6*L6</f>
        <v>-400000</v>
      </c>
    </row>
    <row r="7" spans="3:13" x14ac:dyDescent="0.25">
      <c r="C7">
        <v>1</v>
      </c>
      <c r="D7">
        <v>50000</v>
      </c>
      <c r="E7">
        <f>1/(1+$E$2+$E$3)^C7</f>
        <v>0.84745762711864414</v>
      </c>
      <c r="F7">
        <f t="shared" ref="F7:F11" si="0">D7*E7</f>
        <v>42372.881355932208</v>
      </c>
      <c r="J7">
        <v>1</v>
      </c>
      <c r="K7">
        <v>75000</v>
      </c>
      <c r="L7">
        <f>1/(1+$E$2+$E$3)^J7</f>
        <v>0.84745762711864414</v>
      </c>
      <c r="M7">
        <f t="shared" ref="M7:M9" si="1">K7*L7</f>
        <v>63559.322033898308</v>
      </c>
    </row>
    <row r="8" spans="3:13" x14ac:dyDescent="0.25">
      <c r="C8">
        <v>2</v>
      </c>
      <c r="D8">
        <v>100000</v>
      </c>
      <c r="E8">
        <f t="shared" ref="E8:E11" si="2">1/(1+$E$2+$E$3)^C8</f>
        <v>0.71818442976156283</v>
      </c>
      <c r="F8">
        <f t="shared" si="0"/>
        <v>71818.442976156279</v>
      </c>
      <c r="J8">
        <v>2</v>
      </c>
      <c r="K8">
        <v>250000</v>
      </c>
      <c r="L8">
        <f>1/(1+$E$2+$E$3)^J8</f>
        <v>0.71818442976156283</v>
      </c>
      <c r="M8">
        <f t="shared" si="1"/>
        <v>179546.10744039071</v>
      </c>
    </row>
    <row r="9" spans="3:13" x14ac:dyDescent="0.25">
      <c r="C9">
        <v>3</v>
      </c>
      <c r="D9">
        <v>100000</v>
      </c>
      <c r="E9">
        <f t="shared" si="2"/>
        <v>0.6086308726792905</v>
      </c>
      <c r="F9">
        <f t="shared" si="0"/>
        <v>60863.087267929048</v>
      </c>
      <c r="J9">
        <v>3</v>
      </c>
      <c r="K9">
        <v>300000</v>
      </c>
      <c r="L9">
        <f>1/(1+$E$2+$E$3)^J9</f>
        <v>0.6086308726792905</v>
      </c>
      <c r="M9">
        <f t="shared" si="1"/>
        <v>182589.26180378714</v>
      </c>
    </row>
    <row r="10" spans="3:13" x14ac:dyDescent="0.25">
      <c r="C10">
        <v>4</v>
      </c>
      <c r="D10">
        <v>200000</v>
      </c>
      <c r="E10">
        <f t="shared" si="2"/>
        <v>0.51578887515194116</v>
      </c>
      <c r="F10">
        <f t="shared" si="0"/>
        <v>103157.77503038823</v>
      </c>
    </row>
    <row r="11" spans="3:13" x14ac:dyDescent="0.25">
      <c r="C11">
        <v>5</v>
      </c>
      <c r="D11">
        <v>75000</v>
      </c>
      <c r="E11">
        <f t="shared" si="2"/>
        <v>0.43710921623045873</v>
      </c>
      <c r="F11">
        <f t="shared" si="0"/>
        <v>32783.191217284402</v>
      </c>
    </row>
    <row r="13" spans="3:13" x14ac:dyDescent="0.25">
      <c r="F13">
        <f>SUM(F6:F11)</f>
        <v>60995.377847690179</v>
      </c>
      <c r="M13">
        <f>SUM(M6:M11)</f>
        <v>25694.691278076178</v>
      </c>
    </row>
  </sheetData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4"/>
  <sheetViews>
    <sheetView workbookViewId="0">
      <selection activeCell="E8" sqref="E8"/>
    </sheetView>
  </sheetViews>
  <sheetFormatPr defaultRowHeight="15" x14ac:dyDescent="0.25"/>
  <sheetData>
    <row r="1" spans="2:14" x14ac:dyDescent="0.25">
      <c r="C1" t="s">
        <v>62</v>
      </c>
      <c r="J1" t="s">
        <v>62</v>
      </c>
    </row>
    <row r="2" spans="2:14" x14ac:dyDescent="0.25">
      <c r="D2" t="s">
        <v>60</v>
      </c>
      <c r="E2" s="1">
        <v>0.15</v>
      </c>
      <c r="K2" t="s">
        <v>60</v>
      </c>
      <c r="L2" s="1">
        <v>0.15</v>
      </c>
    </row>
    <row r="3" spans="2:14" x14ac:dyDescent="0.25">
      <c r="B3" t="s">
        <v>6</v>
      </c>
      <c r="D3" t="s">
        <v>61</v>
      </c>
      <c r="E3" s="1">
        <v>0.03</v>
      </c>
      <c r="I3" t="s">
        <v>7</v>
      </c>
      <c r="K3" t="s">
        <v>61</v>
      </c>
      <c r="L3" s="1">
        <v>0.03</v>
      </c>
    </row>
    <row r="5" spans="2:14" x14ac:dyDescent="0.25">
      <c r="C5" t="s">
        <v>56</v>
      </c>
      <c r="D5" t="s">
        <v>57</v>
      </c>
      <c r="E5" t="s">
        <v>58</v>
      </c>
      <c r="F5" t="s">
        <v>59</v>
      </c>
      <c r="G5" t="s">
        <v>64</v>
      </c>
      <c r="J5" t="s">
        <v>56</v>
      </c>
      <c r="K5" t="s">
        <v>57</v>
      </c>
      <c r="L5" t="s">
        <v>58</v>
      </c>
      <c r="M5" t="s">
        <v>59</v>
      </c>
      <c r="N5" t="s">
        <v>64</v>
      </c>
    </row>
    <row r="6" spans="2:14" x14ac:dyDescent="0.25">
      <c r="C6">
        <v>0</v>
      </c>
      <c r="D6" s="14">
        <v>-250000</v>
      </c>
      <c r="E6">
        <f t="shared" ref="E6:E11" si="0">1/(1+$E$2+$E$3)^C6</f>
        <v>1</v>
      </c>
      <c r="F6">
        <f>D6*E6</f>
        <v>-250000</v>
      </c>
      <c r="G6">
        <f>E6*F6</f>
        <v>-250000</v>
      </c>
      <c r="J6">
        <v>0</v>
      </c>
      <c r="K6" s="14">
        <v>-400000</v>
      </c>
      <c r="L6">
        <f>1/(1+$E$2+$E$3)^J6</f>
        <v>1</v>
      </c>
      <c r="M6">
        <f>K6*L6</f>
        <v>-400000</v>
      </c>
      <c r="N6">
        <f>L6*M6</f>
        <v>-400000</v>
      </c>
    </row>
    <row r="7" spans="2:14" x14ac:dyDescent="0.25">
      <c r="C7">
        <v>1</v>
      </c>
      <c r="D7">
        <v>50000</v>
      </c>
      <c r="E7">
        <f t="shared" si="0"/>
        <v>0.84745762711864414</v>
      </c>
      <c r="F7">
        <f t="shared" ref="F7:F11" si="1">D7*E7</f>
        <v>42372.881355932208</v>
      </c>
      <c r="G7">
        <f>G6+F7</f>
        <v>-207627.11864406778</v>
      </c>
      <c r="J7">
        <v>1</v>
      </c>
      <c r="K7">
        <v>75000</v>
      </c>
      <c r="L7">
        <f>1/(1+$E$2+$E$3)^J7</f>
        <v>0.84745762711864414</v>
      </c>
      <c r="M7">
        <f t="shared" ref="M7:M9" si="2">K7*L7</f>
        <v>63559.322033898308</v>
      </c>
      <c r="N7">
        <f>N6+M7</f>
        <v>-336440.67796610168</v>
      </c>
    </row>
    <row r="8" spans="2:14" x14ac:dyDescent="0.25">
      <c r="C8">
        <v>2</v>
      </c>
      <c r="D8">
        <v>100000</v>
      </c>
      <c r="E8">
        <f t="shared" si="0"/>
        <v>0.71818442976156283</v>
      </c>
      <c r="F8">
        <f t="shared" si="1"/>
        <v>71818.442976156279</v>
      </c>
      <c r="G8">
        <f>G7+F8</f>
        <v>-135808.67566791151</v>
      </c>
      <c r="J8">
        <v>2</v>
      </c>
      <c r="K8">
        <v>250000</v>
      </c>
      <c r="L8">
        <f>1/(1+$E$2+$E$3)^J8</f>
        <v>0.71818442976156283</v>
      </c>
      <c r="M8">
        <f t="shared" si="2"/>
        <v>179546.10744039071</v>
      </c>
      <c r="N8">
        <f t="shared" ref="N8:N9" si="3">N7+M8</f>
        <v>-156894.57052571097</v>
      </c>
    </row>
    <row r="9" spans="2:14" x14ac:dyDescent="0.25">
      <c r="C9">
        <v>3</v>
      </c>
      <c r="D9">
        <v>100000</v>
      </c>
      <c r="E9">
        <f t="shared" si="0"/>
        <v>0.6086308726792905</v>
      </c>
      <c r="F9">
        <f t="shared" si="1"/>
        <v>60863.087267929048</v>
      </c>
      <c r="G9">
        <f t="shared" ref="G9:G11" si="4">G8+F9</f>
        <v>-74945.588399982458</v>
      </c>
      <c r="J9">
        <v>3</v>
      </c>
      <c r="K9">
        <v>300000</v>
      </c>
      <c r="L9">
        <f>1/(1+$E$2+$E$3)^J9</f>
        <v>0.6086308726792905</v>
      </c>
      <c r="M9">
        <f t="shared" si="2"/>
        <v>182589.26180378714</v>
      </c>
      <c r="N9">
        <f t="shared" si="3"/>
        <v>25694.691278076178</v>
      </c>
    </row>
    <row r="10" spans="2:14" x14ac:dyDescent="0.25">
      <c r="C10">
        <v>4</v>
      </c>
      <c r="D10">
        <v>200000</v>
      </c>
      <c r="E10">
        <f t="shared" si="0"/>
        <v>0.51578887515194116</v>
      </c>
      <c r="F10">
        <f t="shared" si="1"/>
        <v>103157.77503038823</v>
      </c>
      <c r="G10">
        <f t="shared" si="4"/>
        <v>28212.186630405777</v>
      </c>
    </row>
    <row r="11" spans="2:14" x14ac:dyDescent="0.25">
      <c r="C11">
        <v>5</v>
      </c>
      <c r="D11">
        <v>75000</v>
      </c>
      <c r="E11">
        <f t="shared" si="0"/>
        <v>0.43710921623045873</v>
      </c>
      <c r="F11">
        <f t="shared" si="1"/>
        <v>32783.191217284402</v>
      </c>
      <c r="G11">
        <f t="shared" si="4"/>
        <v>60995.377847690179</v>
      </c>
    </row>
    <row r="13" spans="2:14" x14ac:dyDescent="0.25">
      <c r="F13">
        <f>SUM(F6:F11)</f>
        <v>60995.377847690179</v>
      </c>
      <c r="G13">
        <f>4-G10/F10</f>
        <v>3.7265141999999996</v>
      </c>
      <c r="M13">
        <f>SUM(M6:M11)</f>
        <v>25694.691278076178</v>
      </c>
      <c r="N13">
        <f>3-N9/M9</f>
        <v>2.8592759999999999</v>
      </c>
    </row>
    <row r="14" spans="2:14" x14ac:dyDescent="0.25">
      <c r="G14" t="s">
        <v>65</v>
      </c>
      <c r="N14" t="s">
        <v>65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6"/>
  <sheetViews>
    <sheetView workbookViewId="0">
      <selection activeCell="E6" sqref="E6"/>
    </sheetView>
  </sheetViews>
  <sheetFormatPr defaultRowHeight="15" x14ac:dyDescent="0.25"/>
  <cols>
    <col min="1" max="1" width="25.5703125" bestFit="1" customWidth="1"/>
    <col min="2" max="2" width="10.85546875" bestFit="1" customWidth="1"/>
  </cols>
  <sheetData>
    <row r="2" spans="1:10" x14ac:dyDescent="0.25">
      <c r="A2" t="s">
        <v>66</v>
      </c>
      <c r="B2">
        <v>70000</v>
      </c>
    </row>
    <row r="3" spans="1:10" x14ac:dyDescent="0.25">
      <c r="A3" t="s">
        <v>67</v>
      </c>
      <c r="B3">
        <f>SUMIF(D8:D16,1,B8:B16)</f>
        <v>60000</v>
      </c>
    </row>
    <row r="4" spans="1:10" x14ac:dyDescent="0.25">
      <c r="A4" t="s">
        <v>68</v>
      </c>
      <c r="B4">
        <f>B2-B3</f>
        <v>10000</v>
      </c>
    </row>
    <row r="5" spans="1:10" x14ac:dyDescent="0.25">
      <c r="A5" t="s">
        <v>69</v>
      </c>
      <c r="B5">
        <f>SUMIF(D8:D16,1,C8:C16)</f>
        <v>55000</v>
      </c>
    </row>
    <row r="7" spans="1:10" x14ac:dyDescent="0.25">
      <c r="A7" t="s">
        <v>5</v>
      </c>
      <c r="B7" t="s">
        <v>70</v>
      </c>
      <c r="C7" t="s">
        <v>59</v>
      </c>
      <c r="D7" t="s">
        <v>71</v>
      </c>
    </row>
    <row r="8" spans="1:10" x14ac:dyDescent="0.25">
      <c r="A8">
        <v>1</v>
      </c>
      <c r="B8">
        <v>15000</v>
      </c>
      <c r="C8">
        <v>14000</v>
      </c>
      <c r="D8">
        <v>1</v>
      </c>
    </row>
    <row r="9" spans="1:10" x14ac:dyDescent="0.25">
      <c r="A9">
        <v>2</v>
      </c>
      <c r="B9">
        <v>61000</v>
      </c>
      <c r="C9">
        <v>17000</v>
      </c>
      <c r="D9">
        <v>0</v>
      </c>
    </row>
    <row r="10" spans="1:10" x14ac:dyDescent="0.25">
      <c r="A10">
        <v>3</v>
      </c>
      <c r="B10">
        <v>12000</v>
      </c>
      <c r="C10">
        <v>17000</v>
      </c>
      <c r="D10">
        <v>1</v>
      </c>
    </row>
    <row r="11" spans="1:10" x14ac:dyDescent="0.25">
      <c r="A11">
        <v>4</v>
      </c>
      <c r="B11">
        <v>8000</v>
      </c>
      <c r="C11">
        <v>15000</v>
      </c>
      <c r="D11">
        <v>0</v>
      </c>
      <c r="F11">
        <v>4</v>
      </c>
      <c r="H11">
        <v>5</v>
      </c>
    </row>
    <row r="12" spans="1:10" x14ac:dyDescent="0.25">
      <c r="A12">
        <v>5</v>
      </c>
      <c r="B12">
        <v>67000</v>
      </c>
      <c r="C12">
        <v>40000</v>
      </c>
      <c r="D12">
        <v>0</v>
      </c>
      <c r="F12">
        <v>0</v>
      </c>
      <c r="G12" t="s">
        <v>81</v>
      </c>
      <c r="H12" t="s">
        <v>80</v>
      </c>
      <c r="J12" s="22" t="s">
        <v>72</v>
      </c>
    </row>
    <row r="13" spans="1:10" x14ac:dyDescent="0.25">
      <c r="A13">
        <v>6</v>
      </c>
      <c r="B13">
        <v>12000</v>
      </c>
      <c r="C13">
        <v>12000</v>
      </c>
      <c r="D13">
        <v>1</v>
      </c>
      <c r="F13">
        <v>1</v>
      </c>
      <c r="G13" t="s">
        <v>81</v>
      </c>
      <c r="H13">
        <v>1</v>
      </c>
      <c r="J13" s="8" t="s">
        <v>73</v>
      </c>
    </row>
    <row r="14" spans="1:10" x14ac:dyDescent="0.25">
      <c r="A14">
        <v>7</v>
      </c>
      <c r="B14">
        <v>52000</v>
      </c>
      <c r="C14">
        <v>14000</v>
      </c>
      <c r="D14">
        <v>0</v>
      </c>
      <c r="J14" t="s">
        <v>74</v>
      </c>
    </row>
    <row r="15" spans="1:10" x14ac:dyDescent="0.25">
      <c r="A15">
        <v>8</v>
      </c>
      <c r="B15">
        <v>39000</v>
      </c>
      <c r="C15">
        <v>10000</v>
      </c>
      <c r="D15">
        <v>0</v>
      </c>
    </row>
    <row r="16" spans="1:10" x14ac:dyDescent="0.25">
      <c r="A16">
        <v>9</v>
      </c>
      <c r="B16">
        <v>21000</v>
      </c>
      <c r="C16">
        <v>12000</v>
      </c>
      <c r="D1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CheckList</vt:lpstr>
      <vt:lpstr>AHP</vt:lpstr>
      <vt:lpstr>PB</vt:lpstr>
      <vt:lpstr>Case - PB</vt:lpstr>
      <vt:lpstr>TVOM</vt:lpstr>
      <vt:lpstr>NPV</vt:lpstr>
      <vt:lpstr>NPV2</vt:lpstr>
      <vt:lpstr>Case - NPV</vt:lpstr>
      <vt:lpstr>Case - DPB</vt:lpstr>
      <vt:lpstr>Solver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Harshit</dc:creator>
  <cp:lastModifiedBy>hp</cp:lastModifiedBy>
  <dcterms:created xsi:type="dcterms:W3CDTF">2015-06-05T18:17:20Z</dcterms:created>
  <dcterms:modified xsi:type="dcterms:W3CDTF">2022-11-27T16:40:09Z</dcterms:modified>
</cp:coreProperties>
</file>