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IMV\Advanced Projet Management\"/>
    </mc:Choice>
  </mc:AlternateContent>
  <xr:revisionPtr revIDLastSave="0" documentId="8_{B830A0F8-00D5-431B-9E57-0CC0880BDE3B}" xr6:coauthVersionLast="47" xr6:coauthVersionMax="47" xr10:uidLastSave="{00000000-0000-0000-0000-000000000000}"/>
  <bookViews>
    <workbookView xWindow="-98" yWindow="-98" windowWidth="20715" windowHeight="13155"/>
  </bookViews>
  <sheets>
    <sheet name="KPIC" sheetId="1" r:id="rId1"/>
    <sheet name="REV-KPIC" sheetId="2" r:id="rId2"/>
    <sheet name="SBCA" sheetId="4" r:id="rId3"/>
    <sheet name="Hypo-Projects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3" l="1"/>
  <c r="G15" i="3"/>
  <c r="H14" i="3"/>
  <c r="G14" i="3"/>
  <c r="H13" i="3"/>
  <c r="G13" i="3"/>
  <c r="H12" i="3"/>
  <c r="G12" i="3"/>
  <c r="G16" i="3"/>
  <c r="H11" i="3"/>
  <c r="G11" i="3"/>
  <c r="H9" i="3"/>
  <c r="G9" i="3"/>
  <c r="H8" i="3"/>
  <c r="G8" i="3"/>
  <c r="H7" i="3"/>
  <c r="G7" i="3"/>
  <c r="H6" i="3"/>
  <c r="G6" i="3"/>
  <c r="H4" i="3"/>
  <c r="G4" i="3"/>
  <c r="H3" i="3"/>
  <c r="G3" i="3"/>
  <c r="G2" i="3"/>
  <c r="D91" i="4"/>
  <c r="C91" i="4"/>
  <c r="B91" i="4"/>
  <c r="E91" i="4"/>
  <c r="C73" i="4"/>
  <c r="C74" i="4"/>
  <c r="B74" i="4"/>
  <c r="B75" i="4"/>
  <c r="B73" i="4"/>
  <c r="C2" i="2"/>
  <c r="D29" i="2"/>
  <c r="C6" i="2"/>
  <c r="C7" i="2"/>
  <c r="E31" i="2"/>
  <c r="C8" i="2"/>
  <c r="C9" i="2"/>
  <c r="D33" i="2"/>
  <c r="C10" i="2"/>
  <c r="C11" i="2"/>
  <c r="D35" i="2"/>
  <c r="C3" i="2"/>
  <c r="B58" i="2"/>
  <c r="B59" i="2"/>
  <c r="D46" i="2"/>
  <c r="E46" i="2"/>
  <c r="F46" i="2"/>
  <c r="B60" i="2"/>
  <c r="E29" i="2"/>
  <c r="E33" i="2"/>
  <c r="E35" i="2"/>
  <c r="F29" i="2"/>
  <c r="F33" i="2"/>
  <c r="F35" i="2"/>
  <c r="G29" i="2"/>
  <c r="G33" i="2"/>
  <c r="G35" i="2"/>
  <c r="H29" i="2"/>
  <c r="H33" i="2"/>
  <c r="H35" i="2"/>
  <c r="I29" i="2"/>
  <c r="I33" i="2"/>
  <c r="I35" i="2"/>
  <c r="J29" i="2"/>
  <c r="J33" i="2"/>
  <c r="J35" i="2"/>
  <c r="K29" i="2"/>
  <c r="K33" i="2"/>
  <c r="K35" i="2"/>
  <c r="C93" i="4"/>
  <c r="B93" i="4"/>
  <c r="C101" i="4"/>
  <c r="C104" i="4"/>
  <c r="D93" i="4"/>
  <c r="B65" i="4"/>
  <c r="C49" i="4"/>
  <c r="D49" i="4"/>
  <c r="E49" i="4"/>
  <c r="F49" i="4"/>
  <c r="G49" i="4"/>
  <c r="H49" i="4"/>
  <c r="I59" i="4"/>
  <c r="I75" i="4"/>
  <c r="I49" i="4"/>
  <c r="J49" i="4"/>
  <c r="K59" i="4"/>
  <c r="K75" i="4"/>
  <c r="B49" i="4"/>
  <c r="C47" i="4"/>
  <c r="C50" i="4"/>
  <c r="D59" i="4"/>
  <c r="D75" i="4"/>
  <c r="D47" i="4"/>
  <c r="E47" i="4"/>
  <c r="F47" i="4"/>
  <c r="F50" i="4"/>
  <c r="G59" i="4"/>
  <c r="G75" i="4"/>
  <c r="G47" i="4"/>
  <c r="G50" i="4"/>
  <c r="H59" i="4"/>
  <c r="H75" i="4"/>
  <c r="H47" i="4"/>
  <c r="H50" i="4"/>
  <c r="I47" i="4"/>
  <c r="I50" i="4"/>
  <c r="J59" i="4"/>
  <c r="J75" i="4"/>
  <c r="J47" i="4"/>
  <c r="J50" i="4"/>
  <c r="B47" i="4"/>
  <c r="B50" i="4"/>
  <c r="C59" i="4"/>
  <c r="C75" i="4"/>
  <c r="C41" i="4"/>
  <c r="D41" i="4"/>
  <c r="E41" i="4"/>
  <c r="E43" i="4"/>
  <c r="F58" i="4"/>
  <c r="F74" i="4"/>
  <c r="F41" i="4"/>
  <c r="G41" i="4"/>
  <c r="H41" i="4"/>
  <c r="H43" i="4"/>
  <c r="I58" i="4"/>
  <c r="I74" i="4"/>
  <c r="I41" i="4"/>
  <c r="I43" i="4"/>
  <c r="J58" i="4"/>
  <c r="J74" i="4"/>
  <c r="J41" i="4"/>
  <c r="C42" i="4"/>
  <c r="C43" i="4"/>
  <c r="D58" i="4"/>
  <c r="D74" i="4"/>
  <c r="D42" i="4"/>
  <c r="D43" i="4"/>
  <c r="E58" i="4"/>
  <c r="E74" i="4"/>
  <c r="E42" i="4"/>
  <c r="F42" i="4"/>
  <c r="G42" i="4"/>
  <c r="H42" i="4"/>
  <c r="I42" i="4"/>
  <c r="J42" i="4"/>
  <c r="J43" i="4"/>
  <c r="K58" i="4"/>
  <c r="K74" i="4"/>
  <c r="B42" i="4"/>
  <c r="B41" i="4"/>
  <c r="B43" i="4"/>
  <c r="E24" i="4"/>
  <c r="D23" i="4"/>
  <c r="F23" i="4"/>
  <c r="D22" i="4"/>
  <c r="F22" i="4"/>
  <c r="D21" i="4"/>
  <c r="F21" i="4"/>
  <c r="D20" i="4"/>
  <c r="F20" i="4"/>
  <c r="F24" i="4"/>
  <c r="C26" i="4"/>
  <c r="D19" i="4"/>
  <c r="F19" i="4"/>
  <c r="F5" i="4"/>
  <c r="F6" i="4"/>
  <c r="F7" i="4"/>
  <c r="F8" i="4"/>
  <c r="F4" i="4"/>
  <c r="D9" i="4"/>
  <c r="B9" i="4"/>
  <c r="C46" i="3"/>
  <c r="C47" i="3"/>
  <c r="C48" i="3"/>
  <c r="E46" i="3"/>
  <c r="D46" i="1"/>
  <c r="F11" i="3"/>
  <c r="F12" i="3"/>
  <c r="F13" i="3"/>
  <c r="K13" i="3"/>
  <c r="F14" i="3"/>
  <c r="K14" i="3"/>
  <c r="F15" i="3"/>
  <c r="K15" i="3"/>
  <c r="F6" i="3"/>
  <c r="K6" i="3"/>
  <c r="F7" i="3"/>
  <c r="K7" i="3"/>
  <c r="F8" i="3"/>
  <c r="K8" i="3"/>
  <c r="F9" i="3"/>
  <c r="K9" i="3"/>
  <c r="F2" i="3"/>
  <c r="K2" i="3"/>
  <c r="F3" i="3"/>
  <c r="K3" i="3"/>
  <c r="F4" i="3"/>
  <c r="K4" i="3"/>
  <c r="H2" i="3"/>
  <c r="F5" i="3"/>
  <c r="B45" i="1"/>
  <c r="C45" i="1"/>
  <c r="C49" i="1"/>
  <c r="D30" i="1"/>
  <c r="D31" i="1"/>
  <c r="D32" i="1"/>
  <c r="D33" i="1"/>
  <c r="D34" i="1"/>
  <c r="D35" i="1"/>
  <c r="D36" i="1"/>
  <c r="D37" i="1"/>
  <c r="D44" i="1"/>
  <c r="E44" i="1"/>
  <c r="F44" i="1"/>
  <c r="G44" i="1"/>
  <c r="H44" i="1"/>
  <c r="I44" i="1"/>
  <c r="E30" i="1"/>
  <c r="E31" i="1"/>
  <c r="E32" i="1"/>
  <c r="E33" i="1"/>
  <c r="E34" i="1"/>
  <c r="E35" i="1"/>
  <c r="E36" i="1"/>
  <c r="E37" i="1"/>
  <c r="F30" i="1"/>
  <c r="F31" i="1"/>
  <c r="F32" i="1"/>
  <c r="F38" i="1"/>
  <c r="F42" i="1"/>
  <c r="F33" i="1"/>
  <c r="F34" i="1"/>
  <c r="F35" i="1"/>
  <c r="F36" i="1"/>
  <c r="F37" i="1"/>
  <c r="G30" i="1"/>
  <c r="G31" i="1"/>
  <c r="G32" i="1"/>
  <c r="G33" i="1"/>
  <c r="G34" i="1"/>
  <c r="G35" i="1"/>
  <c r="G36" i="1"/>
  <c r="G37" i="1"/>
  <c r="H30" i="1"/>
  <c r="H31" i="1"/>
  <c r="H32" i="1"/>
  <c r="H33" i="1"/>
  <c r="H38" i="1"/>
  <c r="H42" i="1"/>
  <c r="H34" i="1"/>
  <c r="H35" i="1"/>
  <c r="H36" i="1"/>
  <c r="H37" i="1"/>
  <c r="I30" i="1"/>
  <c r="I38" i="1"/>
  <c r="I42" i="1"/>
  <c r="I43" i="1"/>
  <c r="I31" i="1"/>
  <c r="I32" i="1"/>
  <c r="I33" i="1"/>
  <c r="I34" i="1"/>
  <c r="I35" i="1"/>
  <c r="I36" i="1"/>
  <c r="I37" i="1"/>
  <c r="J30" i="1"/>
  <c r="J31" i="1"/>
  <c r="J38" i="1"/>
  <c r="J42" i="1"/>
  <c r="J32" i="1"/>
  <c r="J33" i="1"/>
  <c r="J34" i="1"/>
  <c r="J35" i="1"/>
  <c r="J36" i="1"/>
  <c r="J37" i="1"/>
  <c r="K30" i="1"/>
  <c r="K31" i="1"/>
  <c r="K38" i="1"/>
  <c r="K42" i="1"/>
  <c r="K32" i="1"/>
  <c r="K33" i="1"/>
  <c r="K34" i="1"/>
  <c r="K35" i="1"/>
  <c r="K36" i="1"/>
  <c r="K37" i="1"/>
  <c r="C30" i="1"/>
  <c r="C38" i="1"/>
  <c r="C31" i="1"/>
  <c r="C32" i="1"/>
  <c r="C33" i="1"/>
  <c r="C34" i="1"/>
  <c r="C35" i="1"/>
  <c r="C36" i="1"/>
  <c r="C37" i="1"/>
  <c r="D44" i="2"/>
  <c r="E44" i="2"/>
  <c r="F44" i="2"/>
  <c r="G44" i="2"/>
  <c r="H44" i="2"/>
  <c r="I44" i="2"/>
  <c r="J44" i="2"/>
  <c r="K44" i="2"/>
  <c r="B45" i="2"/>
  <c r="B52" i="2"/>
  <c r="B72" i="4"/>
  <c r="C45" i="2"/>
  <c r="C52" i="2"/>
  <c r="C72" i="4"/>
  <c r="C4" i="2"/>
  <c r="C5" i="2"/>
  <c r="C29" i="2"/>
  <c r="C31" i="2"/>
  <c r="C33" i="2"/>
  <c r="C35" i="2"/>
  <c r="E4" i="4"/>
  <c r="K5" i="3"/>
  <c r="D103" i="4"/>
  <c r="H103" i="4"/>
  <c r="G103" i="4"/>
  <c r="B103" i="4"/>
  <c r="I102" i="4"/>
  <c r="G102" i="4"/>
  <c r="C102" i="4"/>
  <c r="J102" i="4"/>
  <c r="F102" i="4"/>
  <c r="G101" i="4"/>
  <c r="G104" i="4"/>
  <c r="J101" i="4"/>
  <c r="H101" i="4"/>
  <c r="F101" i="4"/>
  <c r="E36" i="2"/>
  <c r="B49" i="1"/>
  <c r="B52" i="1"/>
  <c r="D32" i="2"/>
  <c r="C32" i="2"/>
  <c r="F32" i="2"/>
  <c r="G32" i="2"/>
  <c r="H32" i="2"/>
  <c r="I32" i="2"/>
  <c r="J32" i="2"/>
  <c r="K32" i="2"/>
  <c r="F10" i="3"/>
  <c r="K11" i="3"/>
  <c r="D50" i="4"/>
  <c r="E59" i="4"/>
  <c r="E75" i="4"/>
  <c r="F103" i="4"/>
  <c r="F104" i="4"/>
  <c r="E103" i="4"/>
  <c r="J103" i="4"/>
  <c r="J104" i="4"/>
  <c r="I103" i="4"/>
  <c r="D34" i="2"/>
  <c r="F34" i="2"/>
  <c r="G34" i="2"/>
  <c r="H34" i="2"/>
  <c r="I34" i="2"/>
  <c r="J34" i="2"/>
  <c r="K34" i="2"/>
  <c r="C34" i="2"/>
  <c r="E34" i="2"/>
  <c r="E32" i="2"/>
  <c r="C103" i="4"/>
  <c r="C49" i="3"/>
  <c r="C52" i="1"/>
  <c r="C56" i="4"/>
  <c r="C60" i="4"/>
  <c r="C76" i="4"/>
  <c r="E46" i="1"/>
  <c r="F9" i="4"/>
  <c r="D101" i="4"/>
  <c r="I101" i="4"/>
  <c r="B101" i="4"/>
  <c r="E101" i="4"/>
  <c r="D36" i="2"/>
  <c r="F36" i="2"/>
  <c r="H36" i="2"/>
  <c r="J36" i="2"/>
  <c r="F46" i="3"/>
  <c r="B102" i="4"/>
  <c r="E102" i="4"/>
  <c r="H102" i="4"/>
  <c r="H104" i="4"/>
  <c r="D102" i="4"/>
  <c r="D30" i="2"/>
  <c r="G30" i="2"/>
  <c r="I30" i="2"/>
  <c r="K30" i="2"/>
  <c r="E30" i="2"/>
  <c r="E38" i="2"/>
  <c r="E42" i="2"/>
  <c r="F30" i="2"/>
  <c r="H30" i="2"/>
  <c r="J30" i="2"/>
  <c r="C30" i="2"/>
  <c r="D104" i="4"/>
  <c r="E11" i="4"/>
  <c r="B104" i="4"/>
  <c r="B56" i="4"/>
  <c r="B60" i="4"/>
  <c r="B76" i="4"/>
  <c r="G46" i="2"/>
  <c r="H46" i="2"/>
  <c r="I46" i="2"/>
  <c r="J46" i="2"/>
  <c r="K46" i="2"/>
  <c r="E43" i="2"/>
  <c r="E45" i="2"/>
  <c r="E47" i="2"/>
  <c r="H45" i="1"/>
  <c r="H43" i="1"/>
  <c r="J44" i="1"/>
  <c r="K44" i="1"/>
  <c r="K45" i="1"/>
  <c r="K47" i="1"/>
  <c r="I45" i="1"/>
  <c r="K43" i="1"/>
  <c r="J43" i="1"/>
  <c r="J45" i="1"/>
  <c r="J47" i="1"/>
  <c r="F43" i="1"/>
  <c r="F45" i="1"/>
  <c r="K12" i="3"/>
  <c r="K16" i="3"/>
  <c r="F16" i="3"/>
  <c r="F48" i="3"/>
  <c r="F49" i="3"/>
  <c r="C38" i="2"/>
  <c r="I104" i="4"/>
  <c r="G43" i="4"/>
  <c r="H58" i="4"/>
  <c r="H74" i="4"/>
  <c r="G38" i="1"/>
  <c r="G42" i="1"/>
  <c r="D38" i="1"/>
  <c r="D42" i="1"/>
  <c r="K10" i="3"/>
  <c r="E7" i="4"/>
  <c r="E9" i="4"/>
  <c r="E8" i="4"/>
  <c r="E6" i="4"/>
  <c r="E5" i="4"/>
  <c r="F43" i="4"/>
  <c r="G58" i="4"/>
  <c r="G74" i="4"/>
  <c r="B81" i="4"/>
  <c r="G36" i="2"/>
  <c r="K36" i="2"/>
  <c r="C36" i="2"/>
  <c r="I36" i="2"/>
  <c r="F46" i="1"/>
  <c r="G46" i="1"/>
  <c r="H46" i="1"/>
  <c r="I46" i="1"/>
  <c r="J46" i="1"/>
  <c r="K46" i="1"/>
  <c r="D38" i="2"/>
  <c r="D42" i="2"/>
  <c r="E104" i="4"/>
  <c r="E28" i="4"/>
  <c r="E29" i="4"/>
  <c r="E30" i="4"/>
  <c r="E38" i="1"/>
  <c r="E42" i="1"/>
  <c r="E50" i="4"/>
  <c r="F59" i="4"/>
  <c r="F75" i="4"/>
  <c r="D31" i="2"/>
  <c r="K31" i="2"/>
  <c r="K38" i="2"/>
  <c r="K42" i="2"/>
  <c r="J31" i="2"/>
  <c r="J38" i="2"/>
  <c r="J42" i="2"/>
  <c r="I31" i="2"/>
  <c r="I38" i="2"/>
  <c r="I42" i="2"/>
  <c r="H31" i="2"/>
  <c r="H38" i="2"/>
  <c r="H42" i="2"/>
  <c r="G31" i="2"/>
  <c r="G38" i="2"/>
  <c r="G42" i="2"/>
  <c r="F31" i="2"/>
  <c r="F38" i="2"/>
  <c r="F42" i="2"/>
  <c r="J48" i="1"/>
  <c r="J49" i="1"/>
  <c r="J52" i="1"/>
  <c r="J56" i="4"/>
  <c r="J60" i="4"/>
  <c r="J76" i="4"/>
  <c r="E48" i="2"/>
  <c r="E49" i="2"/>
  <c r="E52" i="2"/>
  <c r="E72" i="4"/>
  <c r="H43" i="2"/>
  <c r="H45" i="2"/>
  <c r="H47" i="2"/>
  <c r="I57" i="4"/>
  <c r="I73" i="4"/>
  <c r="K57" i="4"/>
  <c r="K73" i="4"/>
  <c r="J57" i="4"/>
  <c r="J73" i="4"/>
  <c r="H57" i="4"/>
  <c r="H73" i="4"/>
  <c r="D57" i="4"/>
  <c r="D73" i="4"/>
  <c r="E57" i="4"/>
  <c r="E73" i="4"/>
  <c r="F57" i="4"/>
  <c r="F73" i="4"/>
  <c r="G57" i="4"/>
  <c r="G73" i="4"/>
  <c r="K48" i="1"/>
  <c r="K49" i="1"/>
  <c r="K52" i="1"/>
  <c r="K56" i="4"/>
  <c r="K60" i="4"/>
  <c r="K76" i="4"/>
  <c r="E45" i="1"/>
  <c r="E47" i="1"/>
  <c r="E43" i="1"/>
  <c r="G45" i="1"/>
  <c r="G47" i="1"/>
  <c r="G43" i="1"/>
  <c r="K45" i="2"/>
  <c r="K47" i="2"/>
  <c r="K43" i="2"/>
  <c r="D45" i="2"/>
  <c r="D47" i="2"/>
  <c r="D43" i="2"/>
  <c r="B67" i="4"/>
  <c r="H47" i="1"/>
  <c r="L50" i="2"/>
  <c r="L51" i="2"/>
  <c r="L52" i="2"/>
  <c r="L72" i="4"/>
  <c r="G43" i="2"/>
  <c r="G45" i="2"/>
  <c r="G47" i="2"/>
  <c r="D43" i="1"/>
  <c r="D45" i="1"/>
  <c r="D47" i="1"/>
  <c r="F47" i="1"/>
  <c r="I43" i="2"/>
  <c r="I45" i="2"/>
  <c r="I47" i="2"/>
  <c r="F45" i="2"/>
  <c r="F47" i="2"/>
  <c r="F43" i="2"/>
  <c r="J45" i="2"/>
  <c r="J47" i="2"/>
  <c r="J43" i="2"/>
  <c r="L50" i="1"/>
  <c r="L51" i="1"/>
  <c r="L52" i="1"/>
  <c r="L56" i="4"/>
  <c r="L60" i="4"/>
  <c r="I47" i="1"/>
  <c r="D48" i="1"/>
  <c r="D49" i="1"/>
  <c r="D52" i="1"/>
  <c r="H48" i="2"/>
  <c r="H49" i="2"/>
  <c r="H52" i="2"/>
  <c r="H72" i="4"/>
  <c r="I48" i="2"/>
  <c r="I49" i="2"/>
  <c r="I52" i="2"/>
  <c r="I72" i="4"/>
  <c r="I48" i="1"/>
  <c r="I49" i="1"/>
  <c r="I52" i="1"/>
  <c r="I56" i="4"/>
  <c r="I60" i="4"/>
  <c r="I76" i="4"/>
  <c r="G48" i="2"/>
  <c r="G49" i="2"/>
  <c r="G52" i="2"/>
  <c r="G72" i="4"/>
  <c r="F48" i="1"/>
  <c r="F49" i="1"/>
  <c r="F52" i="1"/>
  <c r="F56" i="4"/>
  <c r="F60" i="4"/>
  <c r="F76" i="4"/>
  <c r="G48" i="1"/>
  <c r="G49" i="1"/>
  <c r="G52" i="1"/>
  <c r="G56" i="4"/>
  <c r="G60" i="4"/>
  <c r="G76" i="4"/>
  <c r="H48" i="1"/>
  <c r="H49" i="1"/>
  <c r="H52" i="1"/>
  <c r="H56" i="4"/>
  <c r="H60" i="4"/>
  <c r="H76" i="4"/>
  <c r="F48" i="2"/>
  <c r="F49" i="2"/>
  <c r="F52" i="2"/>
  <c r="F72" i="4"/>
  <c r="D48" i="2"/>
  <c r="D49" i="2"/>
  <c r="D52" i="2"/>
  <c r="J48" i="2"/>
  <c r="J49" i="2"/>
  <c r="J52" i="2"/>
  <c r="J72" i="4"/>
  <c r="K48" i="2"/>
  <c r="K49" i="2"/>
  <c r="K52" i="2"/>
  <c r="K72" i="4"/>
  <c r="E48" i="1"/>
  <c r="E49" i="1"/>
  <c r="E52" i="1"/>
  <c r="E56" i="4"/>
  <c r="E60" i="4"/>
  <c r="E76" i="4"/>
  <c r="D72" i="4"/>
  <c r="B56" i="2"/>
  <c r="B57" i="2"/>
  <c r="B57" i="1"/>
  <c r="D56" i="4"/>
  <c r="D60" i="4"/>
  <c r="B56" i="1"/>
  <c r="B63" i="2"/>
  <c r="D63" i="2"/>
  <c r="D76" i="4"/>
  <c r="B62" i="4"/>
  <c r="B63" i="4"/>
  <c r="B79" i="4"/>
  <c r="B78" i="4"/>
  <c r="G10" i="3"/>
  <c r="J10" i="3"/>
  <c r="H5" i="3"/>
  <c r="H16" i="3"/>
  <c r="J16" i="3"/>
  <c r="I16" i="3"/>
  <c r="H10" i="3"/>
  <c r="G5" i="3"/>
  <c r="I5" i="3"/>
  <c r="I10" i="3"/>
  <c r="J5" i="3"/>
</calcChain>
</file>

<file path=xl/sharedStrings.xml><?xml version="1.0" encoding="utf-8"?>
<sst xmlns="http://schemas.openxmlformats.org/spreadsheetml/2006/main" count="234" uniqueCount="120">
  <si>
    <t>Fertilizer</t>
  </si>
  <si>
    <t>POL</t>
  </si>
  <si>
    <t>Food Grains</t>
  </si>
  <si>
    <t>Iron Ore</t>
  </si>
  <si>
    <t>Iron Pellets</t>
  </si>
  <si>
    <t>Sponge Iron</t>
  </si>
  <si>
    <t>Tobacco</t>
  </si>
  <si>
    <t>Misc</t>
  </si>
  <si>
    <t>Phosphoric Acid</t>
  </si>
  <si>
    <t>Liquid Ammonia</t>
  </si>
  <si>
    <t>Petroleum</t>
  </si>
  <si>
    <t>Miscellaneous</t>
  </si>
  <si>
    <t>Quantities ('000 tons)</t>
  </si>
  <si>
    <t>Value in Rs. '000</t>
  </si>
  <si>
    <t>Total</t>
  </si>
  <si>
    <t>Investment</t>
  </si>
  <si>
    <t>Revenue</t>
  </si>
  <si>
    <t>Discount rate</t>
  </si>
  <si>
    <t>NPV</t>
  </si>
  <si>
    <t>IRR</t>
  </si>
  <si>
    <t>Operating Cost</t>
  </si>
  <si>
    <t>Operating cost</t>
  </si>
  <si>
    <t>of Revenue</t>
  </si>
  <si>
    <t>Depreciation</t>
  </si>
  <si>
    <t>Maintenance Cost</t>
  </si>
  <si>
    <t>Depreciated value of the asset</t>
  </si>
  <si>
    <t>Salvage Value</t>
  </si>
  <si>
    <t>Cash Flow</t>
  </si>
  <si>
    <t>Year</t>
  </si>
  <si>
    <t>Project</t>
  </si>
  <si>
    <t>Capital Cost</t>
  </si>
  <si>
    <t>Operational Cost</t>
  </si>
  <si>
    <t>Value of Output</t>
  </si>
  <si>
    <t>Net Value</t>
  </si>
  <si>
    <t>A</t>
  </si>
  <si>
    <t>B</t>
  </si>
  <si>
    <t>C</t>
  </si>
  <si>
    <t>BCR</t>
  </si>
  <si>
    <t>PBT</t>
  </si>
  <si>
    <t>Tax</t>
  </si>
  <si>
    <t>Tax rate</t>
  </si>
  <si>
    <t>TAX</t>
  </si>
  <si>
    <t>PAT</t>
  </si>
  <si>
    <t>Tax Rate</t>
  </si>
  <si>
    <t>Cost to Society</t>
  </si>
  <si>
    <t>tonnage</t>
  </si>
  <si>
    <t>Boat labour</t>
  </si>
  <si>
    <t>Shore Lab</t>
  </si>
  <si>
    <t>OLD</t>
  </si>
  <si>
    <t>NEW</t>
  </si>
  <si>
    <t>Ratio</t>
  </si>
  <si>
    <t>Deficit</t>
  </si>
  <si>
    <t>Shipdays Saved</t>
  </si>
  <si>
    <t>Period (Days)</t>
  </si>
  <si>
    <t>No. of Ships</t>
  </si>
  <si>
    <t>Average Number of Days</t>
  </si>
  <si>
    <t>Number of Ships Handled as % of Total</t>
  </si>
  <si>
    <t>&lt;10</t>
  </si>
  <si>
    <t>10-19</t>
  </si>
  <si>
    <t>20-29</t>
  </si>
  <si>
    <t>30-39</t>
  </si>
  <si>
    <t>&gt;40</t>
  </si>
  <si>
    <t>All</t>
  </si>
  <si>
    <t>Cargo Handled (Tons)</t>
  </si>
  <si>
    <t>Total no. of Ship-days</t>
  </si>
  <si>
    <t>Efficiency of Port</t>
  </si>
  <si>
    <t>Appendix V - Relative Efficiencies of the Two Ports in Handling Different Types of Cargo</t>
  </si>
  <si>
    <t>Tons Handled per Day</t>
  </si>
  <si>
    <t>Cargo</t>
  </si>
  <si>
    <t>New Port</t>
  </si>
  <si>
    <t>Anchorage Port</t>
  </si>
  <si>
    <t>QTY</t>
  </si>
  <si>
    <t>Eff. Ratio * Qty</t>
  </si>
  <si>
    <t>Average Efficiency Ratio</t>
  </si>
  <si>
    <t>New Shipdays</t>
  </si>
  <si>
    <t>Liquid Cargo - Savings in Transport Cost</t>
  </si>
  <si>
    <t>Item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</si>
  <si>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</si>
  <si>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</si>
  <si>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</si>
  <si>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</si>
  <si>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</si>
  <si>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</si>
  <si>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</si>
  <si>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</si>
  <si>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</si>
  <si>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Phosphoric Acid and Liquid Ammonia</t>
  </si>
  <si>
    <t>Petroleum Products</t>
  </si>
  <si>
    <t>Trans.Cost</t>
  </si>
  <si>
    <t>Value (Rs. Mill)</t>
  </si>
  <si>
    <t>Loss for Boats</t>
  </si>
  <si>
    <t>Initial Revenue (Rs. Mill)</t>
  </si>
  <si>
    <t>New Qtys</t>
  </si>
  <si>
    <t>New Revenue</t>
  </si>
  <si>
    <t>Net</t>
  </si>
  <si>
    <t>Summary for all Stakeholders</t>
  </si>
  <si>
    <t>KPIC (+)</t>
  </si>
  <si>
    <t>Save Transport (+)</t>
  </si>
  <si>
    <t>Ship-Days (+)</t>
  </si>
  <si>
    <t>Loss for Boats (-)</t>
  </si>
  <si>
    <t>NET CASH FLOW</t>
  </si>
  <si>
    <t>Disc Rate</t>
  </si>
  <si>
    <t>NPV of Boatloss</t>
  </si>
  <si>
    <t>Total Labour</t>
  </si>
  <si>
    <t>Distribution</t>
  </si>
  <si>
    <t>Boat Lab</t>
  </si>
  <si>
    <t>Stevedore</t>
  </si>
  <si>
    <t>Actual</t>
  </si>
  <si>
    <t>Ratio to Qty (Per '000 tons)</t>
  </si>
  <si>
    <t>Quantities</t>
  </si>
  <si>
    <t>Anchorage</t>
  </si>
  <si>
    <t>Lab Requirement</t>
  </si>
  <si>
    <t>KPIC-Alt I</t>
  </si>
  <si>
    <t>KPIC-Alt II</t>
  </si>
  <si>
    <t>Rate</t>
  </si>
  <si>
    <t>Saving in Shipdays (Rs. '000)</t>
  </si>
  <si>
    <t>Total cost of Shipdays @ 2,79,000/day (Rs. Mill)</t>
  </si>
  <si>
    <t xml:space="preserve">Total cost of Shipdays @ 2,79,000/day </t>
  </si>
  <si>
    <t>(Rs. Million)</t>
  </si>
  <si>
    <t>DR=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</si>
</sst>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&quot;$&quot;#,##0.00_);[Red]\(&quot;$&quot;#,##0.00\)"/>
  </numFmts>
  <fonts count="11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1" fontId="0" fillId="0" borderId="0" xfId="0" applyNumberFormat="1" applyAlignment="1">
      <alignment horizontal="center"/>
    </xf>
    <xf numFmtId="40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10" fontId="8" fillId="0" borderId="0" xfId="0" applyNumberFormat="1" applyFont="1" applyAlignment="1">
      <alignment horizontal="center"/>
    </xf>
    <xf numFmtId="16" fontId="8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2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2" fontId="0" fillId="0" borderId="0" xfId="0" applyNumberFormat="1"/>
    <xf numFmtId="2" fontId="1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0" fontId="8" fillId="0" borderId="0" xfId="0" applyFont="1"/>
    <xf numFmtId="0" fontId="1" fillId="0" borderId="0" xfId="0" applyFont="1" applyAlignment="1">
      <alignment wrapText="1"/>
    </xf>
    <xf numFmtId="2" fontId="9" fillId="0" borderId="0" xfId="0" applyNumberFormat="1" applyFont="1"/>
    <xf numFmtId="3" fontId="0" fillId="0" borderId="0" xfId="0" applyNumberFormat="1" applyAlignment="1">
      <alignment horizontal="center"/>
    </xf>
    <xf numFmtId="3" fontId="1" fillId="0" borderId="0" xfId="0" applyNumberFormat="1" applyFont="1" applyAlignment="1">
      <alignment horizontal="center"/>
    </xf>
    <xf numFmtId="40" fontId="0" fillId="0" borderId="0" xfId="0" applyNumberFormat="1"/>
    <xf numFmtId="38" fontId="0" fillId="0" borderId="0" xfId="0" applyNumberFormat="1"/>
    <xf numFmtId="0" fontId="9" fillId="0" borderId="0" xfId="0" applyFont="1" applyAlignment="1">
      <alignment wrapText="1"/>
    </xf>
    <xf numFmtId="1" fontId="1" fillId="0" borderId="0" xfId="0" applyNumberFormat="1" applyFont="1" applyAlignment="1">
      <alignment horizontal="center"/>
    </xf>
    <xf numFmtId="38" fontId="0" fillId="0" borderId="0" xfId="0" applyNumberForma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0" fontId="0" fillId="0" borderId="0" xfId="0" applyNumberFormat="1"/>
    <xf numFmtId="40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9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/>
    </xf>
    <xf numFmtId="40" fontId="1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2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1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A14" zoomScale="140" zoomScaleNormal="140" workbookViewId="0">
      <selection activeCell="B56" sqref="B56:C56"/>
    </sheetView>
  </sheetViews>
  <sheetFormatPr defaultRowHeight="12.75" x14ac:dyDescent="0.35"/>
  <cols>
    <col min="1" max="1" width="15.53125" customWidth="1"/>
    <col min="2" max="2" width="8.73046875" customWidth="1"/>
    <col min="3" max="3" width="8.53125" customWidth="1"/>
    <col min="4" max="11" width="7.796875" customWidth="1"/>
  </cols>
  <sheetData>
    <row r="1" spans="1:11" ht="13.15" x14ac:dyDescent="0.4">
      <c r="A1" s="5" t="s">
        <v>76</v>
      </c>
      <c r="B1" s="5"/>
      <c r="C1" s="5" t="s">
        <v>114</v>
      </c>
    </row>
    <row r="2" spans="1:11" x14ac:dyDescent="0.35">
      <c r="A2" t="s">
        <v>0</v>
      </c>
      <c r="C2" s="1">
        <v>150</v>
      </c>
    </row>
    <row r="3" spans="1:11" x14ac:dyDescent="0.35">
      <c r="A3" t="s">
        <v>1</v>
      </c>
      <c r="C3" s="1">
        <v>50</v>
      </c>
    </row>
    <row r="4" spans="1:11" x14ac:dyDescent="0.35">
      <c r="A4" t="s">
        <v>2</v>
      </c>
      <c r="C4" s="1">
        <v>120</v>
      </c>
    </row>
    <row r="5" spans="1:11" x14ac:dyDescent="0.35">
      <c r="A5" t="s">
        <v>3</v>
      </c>
      <c r="C5" s="1">
        <v>60</v>
      </c>
    </row>
    <row r="6" spans="1:11" x14ac:dyDescent="0.35">
      <c r="A6" t="s">
        <v>4</v>
      </c>
      <c r="C6" s="1">
        <v>250</v>
      </c>
    </row>
    <row r="7" spans="1:11" x14ac:dyDescent="0.35">
      <c r="A7" t="s">
        <v>5</v>
      </c>
      <c r="C7" s="1">
        <v>250</v>
      </c>
    </row>
    <row r="8" spans="1:11" x14ac:dyDescent="0.35">
      <c r="A8" t="s">
        <v>6</v>
      </c>
      <c r="C8" s="1">
        <v>120</v>
      </c>
    </row>
    <row r="9" spans="1:11" x14ac:dyDescent="0.35">
      <c r="A9" t="s">
        <v>11</v>
      </c>
      <c r="C9" s="1">
        <v>120</v>
      </c>
    </row>
    <row r="10" spans="1:11" x14ac:dyDescent="0.35">
      <c r="A10" t="s">
        <v>8</v>
      </c>
      <c r="C10" s="1">
        <v>50</v>
      </c>
    </row>
    <row r="11" spans="1:11" x14ac:dyDescent="0.35">
      <c r="A11" t="s">
        <v>9</v>
      </c>
      <c r="C11" s="1">
        <v>60</v>
      </c>
    </row>
    <row r="14" spans="1:11" ht="13.15" x14ac:dyDescent="0.4">
      <c r="A14" s="52" t="s">
        <v>12</v>
      </c>
      <c r="B14" s="52"/>
      <c r="C14" s="52"/>
      <c r="D14" s="52"/>
      <c r="E14" s="52"/>
      <c r="F14" s="52"/>
      <c r="G14" s="52"/>
      <c r="H14" s="52"/>
      <c r="I14" s="52"/>
      <c r="J14" s="52"/>
      <c r="K14" s="52"/>
    </row>
    <row r="15" spans="1:11" s="5" customFormat="1" ht="13.15" x14ac:dyDescent="0.4">
      <c r="B15" s="4">
        <v>0</v>
      </c>
      <c r="C15" s="4">
        <v>1</v>
      </c>
      <c r="D15" s="4">
        <v>2</v>
      </c>
      <c r="E15" s="4">
        <v>3</v>
      </c>
      <c r="F15" s="4">
        <v>4</v>
      </c>
      <c r="G15" s="4">
        <v>5</v>
      </c>
      <c r="H15" s="4">
        <v>6</v>
      </c>
      <c r="I15" s="4">
        <v>7</v>
      </c>
      <c r="J15" s="4">
        <v>8</v>
      </c>
      <c r="K15" s="4">
        <v>9</v>
      </c>
    </row>
    <row r="16" spans="1:11" x14ac:dyDescent="0.35">
      <c r="A16" t="s">
        <v>0</v>
      </c>
      <c r="C16" s="1">
        <v>0</v>
      </c>
      <c r="D16" s="1">
        <v>360</v>
      </c>
      <c r="E16" s="1">
        <v>380</v>
      </c>
      <c r="F16" s="1">
        <v>415</v>
      </c>
      <c r="G16" s="1">
        <v>450</v>
      </c>
      <c r="H16" s="1">
        <v>485</v>
      </c>
      <c r="I16" s="1">
        <v>520</v>
      </c>
      <c r="J16" s="1">
        <v>555</v>
      </c>
      <c r="K16" s="1">
        <v>590</v>
      </c>
    </row>
    <row r="17" spans="1:12" x14ac:dyDescent="0.35">
      <c r="A17" t="s">
        <v>4</v>
      </c>
      <c r="C17" s="1">
        <v>0</v>
      </c>
      <c r="D17" s="1">
        <v>770</v>
      </c>
      <c r="E17" s="1">
        <v>770</v>
      </c>
      <c r="F17" s="1">
        <v>770</v>
      </c>
      <c r="G17" s="1">
        <v>770</v>
      </c>
      <c r="H17" s="1">
        <v>770</v>
      </c>
      <c r="I17" s="1">
        <v>770</v>
      </c>
      <c r="J17" s="1">
        <v>770</v>
      </c>
      <c r="K17" s="1">
        <v>770</v>
      </c>
    </row>
    <row r="18" spans="1:12" x14ac:dyDescent="0.35">
      <c r="A18" t="s">
        <v>5</v>
      </c>
      <c r="C18" s="1">
        <v>0</v>
      </c>
      <c r="D18" s="1">
        <v>275</v>
      </c>
      <c r="E18" s="1">
        <v>275</v>
      </c>
      <c r="F18" s="1">
        <v>275</v>
      </c>
      <c r="G18" s="1">
        <v>275</v>
      </c>
      <c r="H18" s="1">
        <v>275</v>
      </c>
      <c r="I18" s="1">
        <v>275</v>
      </c>
      <c r="J18" s="1">
        <v>275</v>
      </c>
      <c r="K18" s="1">
        <v>275</v>
      </c>
    </row>
    <row r="19" spans="1:12" x14ac:dyDescent="0.35">
      <c r="A19" t="s">
        <v>6</v>
      </c>
      <c r="C19" s="1">
        <v>0</v>
      </c>
      <c r="D19" s="1">
        <v>50</v>
      </c>
      <c r="E19" s="1">
        <v>50</v>
      </c>
      <c r="F19" s="1">
        <v>50</v>
      </c>
      <c r="G19" s="1">
        <v>50</v>
      </c>
      <c r="H19" s="1">
        <v>50</v>
      </c>
      <c r="I19" s="1">
        <v>50</v>
      </c>
      <c r="J19" s="1">
        <v>50</v>
      </c>
      <c r="K19" s="1">
        <v>50</v>
      </c>
    </row>
    <row r="20" spans="1:12" x14ac:dyDescent="0.35">
      <c r="A20" t="s">
        <v>7</v>
      </c>
      <c r="C20" s="1">
        <v>0</v>
      </c>
      <c r="D20" s="1">
        <v>20</v>
      </c>
      <c r="E20" s="1">
        <v>20</v>
      </c>
      <c r="F20" s="1">
        <v>20</v>
      </c>
      <c r="G20" s="1">
        <v>20</v>
      </c>
      <c r="H20" s="1">
        <v>20</v>
      </c>
      <c r="I20" s="1">
        <v>20</v>
      </c>
      <c r="J20" s="1">
        <v>20</v>
      </c>
      <c r="K20" s="1">
        <v>20</v>
      </c>
    </row>
    <row r="21" spans="1:12" x14ac:dyDescent="0.35">
      <c r="A21" t="s">
        <v>8</v>
      </c>
      <c r="C21" s="1">
        <v>0</v>
      </c>
      <c r="D21" s="1">
        <v>570</v>
      </c>
      <c r="E21" s="1">
        <v>570</v>
      </c>
      <c r="F21" s="1">
        <v>570</v>
      </c>
      <c r="G21" s="1">
        <v>570</v>
      </c>
      <c r="H21" s="1">
        <v>570</v>
      </c>
      <c r="I21" s="1">
        <v>570</v>
      </c>
      <c r="J21" s="1">
        <v>570</v>
      </c>
      <c r="K21" s="1">
        <v>570</v>
      </c>
    </row>
    <row r="22" spans="1:12" x14ac:dyDescent="0.35">
      <c r="A22" t="s">
        <v>9</v>
      </c>
      <c r="C22" s="1">
        <v>0</v>
      </c>
      <c r="D22" s="1">
        <v>70</v>
      </c>
      <c r="E22" s="1">
        <v>70</v>
      </c>
      <c r="F22" s="1">
        <v>70</v>
      </c>
      <c r="G22" s="1">
        <v>70</v>
      </c>
      <c r="H22" s="1">
        <v>70</v>
      </c>
      <c r="I22" s="1">
        <v>70</v>
      </c>
      <c r="J22" s="1">
        <v>70</v>
      </c>
      <c r="K22" s="1">
        <v>70</v>
      </c>
    </row>
    <row r="23" spans="1:12" x14ac:dyDescent="0.35">
      <c r="A23" t="s">
        <v>10</v>
      </c>
      <c r="C23" s="1">
        <v>0</v>
      </c>
      <c r="D23" s="1">
        <v>378</v>
      </c>
      <c r="E23" s="1">
        <v>397</v>
      </c>
      <c r="F23" s="1">
        <v>417</v>
      </c>
      <c r="G23" s="1">
        <v>438</v>
      </c>
      <c r="H23" s="1">
        <v>459</v>
      </c>
      <c r="I23" s="1">
        <v>482</v>
      </c>
      <c r="J23" s="1">
        <v>507</v>
      </c>
      <c r="K23" s="1">
        <v>532</v>
      </c>
    </row>
    <row r="24" spans="1:12" x14ac:dyDescent="0.35">
      <c r="C24" s="1"/>
      <c r="D24" s="1"/>
      <c r="E24" s="1"/>
      <c r="F24" s="1"/>
      <c r="G24" s="1"/>
      <c r="H24" s="1"/>
      <c r="I24" s="1"/>
      <c r="J24" s="1"/>
      <c r="K24" s="1"/>
    </row>
    <row r="25" spans="1:12" x14ac:dyDescent="0.35">
      <c r="C25" s="1"/>
      <c r="D25" s="1"/>
      <c r="E25" s="1"/>
      <c r="F25" s="1"/>
      <c r="G25" s="1"/>
      <c r="H25" s="1"/>
      <c r="I25" s="1"/>
      <c r="J25" s="1"/>
      <c r="K25" s="1"/>
    </row>
    <row r="26" spans="1:12" x14ac:dyDescent="0.35">
      <c r="C26" s="1"/>
      <c r="D26" s="1"/>
      <c r="E26" s="1"/>
      <c r="F26" s="1"/>
      <c r="G26" s="1"/>
      <c r="H26" s="1"/>
      <c r="I26" s="1"/>
      <c r="J26" s="1"/>
      <c r="K26" s="1"/>
    </row>
    <row r="27" spans="1:12" ht="13.15" x14ac:dyDescent="0.4">
      <c r="A27" s="52" t="s">
        <v>13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</row>
    <row r="28" spans="1:12" ht="13.15" x14ac:dyDescent="0.4">
      <c r="A28" s="1"/>
      <c r="B28" s="52" t="s">
        <v>28</v>
      </c>
      <c r="C28" s="52"/>
      <c r="D28" s="52"/>
      <c r="E28" s="52"/>
      <c r="F28" s="52"/>
      <c r="G28" s="52"/>
      <c r="H28" s="52"/>
      <c r="I28" s="52"/>
      <c r="J28" s="52"/>
      <c r="K28" s="52"/>
    </row>
    <row r="29" spans="1:12" ht="13.15" x14ac:dyDescent="0.4">
      <c r="A29" s="1"/>
      <c r="B29" s="4">
        <v>0</v>
      </c>
      <c r="C29" s="4">
        <v>1</v>
      </c>
      <c r="D29" s="4">
        <v>2</v>
      </c>
      <c r="E29" s="4">
        <v>3</v>
      </c>
      <c r="F29" s="4">
        <v>4</v>
      </c>
      <c r="G29" s="4">
        <v>5</v>
      </c>
      <c r="H29" s="4">
        <v>6</v>
      </c>
      <c r="I29" s="4">
        <v>7</v>
      </c>
      <c r="J29" s="4">
        <v>8</v>
      </c>
      <c r="K29" s="4">
        <v>9</v>
      </c>
      <c r="L29" s="1"/>
    </row>
    <row r="30" spans="1:12" x14ac:dyDescent="0.35">
      <c r="A30" s="3" t="s">
        <v>0</v>
      </c>
      <c r="B30" s="1"/>
      <c r="C30" s="1">
        <f>C16*$C$2</f>
        <v>0</v>
      </c>
      <c r="D30" s="1">
        <f>D16*$C$2</f>
        <v>54000</v>
      </c>
      <c r="E30" s="1">
        <f t="shared" ref="E30:K30" si="0">E16*$C$2</f>
        <v>57000</v>
      </c>
      <c r="F30" s="1">
        <f t="shared" si="0"/>
        <v>62250</v>
      </c>
      <c r="G30" s="1">
        <f t="shared" si="0"/>
        <v>67500</v>
      </c>
      <c r="H30" s="1">
        <f t="shared" si="0"/>
        <v>72750</v>
      </c>
      <c r="I30" s="1">
        <f t="shared" si="0"/>
        <v>78000</v>
      </c>
      <c r="J30" s="1">
        <f t="shared" si="0"/>
        <v>83250</v>
      </c>
      <c r="K30" s="1">
        <f t="shared" si="0"/>
        <v>88500</v>
      </c>
      <c r="L30" s="1"/>
    </row>
    <row r="31" spans="1:12" x14ac:dyDescent="0.35">
      <c r="A31" s="3" t="s">
        <v>4</v>
      </c>
      <c r="B31" s="1"/>
      <c r="C31" s="1">
        <f>C17*$C$6</f>
        <v>0</v>
      </c>
      <c r="D31" s="1">
        <f t="shared" ref="D31:K31" si="1">D17*$C$6</f>
        <v>192500</v>
      </c>
      <c r="E31" s="1">
        <f t="shared" si="1"/>
        <v>192500</v>
      </c>
      <c r="F31" s="1">
        <f t="shared" si="1"/>
        <v>192500</v>
      </c>
      <c r="G31" s="1">
        <f t="shared" si="1"/>
        <v>192500</v>
      </c>
      <c r="H31" s="1">
        <f t="shared" si="1"/>
        <v>192500</v>
      </c>
      <c r="I31" s="1">
        <f t="shared" si="1"/>
        <v>192500</v>
      </c>
      <c r="J31" s="1">
        <f t="shared" si="1"/>
        <v>192500</v>
      </c>
      <c r="K31" s="1">
        <f t="shared" si="1"/>
        <v>192500</v>
      </c>
      <c r="L31" s="1"/>
    </row>
    <row r="32" spans="1:12" x14ac:dyDescent="0.35">
      <c r="A32" s="3" t="s">
        <v>5</v>
      </c>
      <c r="B32" s="1"/>
      <c r="C32" s="1">
        <f>C18*$C$7</f>
        <v>0</v>
      </c>
      <c r="D32" s="1">
        <f t="shared" ref="D32:K32" si="2">D18*$C$7</f>
        <v>68750</v>
      </c>
      <c r="E32" s="1">
        <f t="shared" si="2"/>
        <v>68750</v>
      </c>
      <c r="F32" s="1">
        <f t="shared" si="2"/>
        <v>68750</v>
      </c>
      <c r="G32" s="1">
        <f t="shared" si="2"/>
        <v>68750</v>
      </c>
      <c r="H32" s="1">
        <f t="shared" si="2"/>
        <v>68750</v>
      </c>
      <c r="I32" s="1">
        <f t="shared" si="2"/>
        <v>68750</v>
      </c>
      <c r="J32" s="1">
        <f t="shared" si="2"/>
        <v>68750</v>
      </c>
      <c r="K32" s="1">
        <f t="shared" si="2"/>
        <v>68750</v>
      </c>
      <c r="L32" s="1"/>
    </row>
    <row r="33" spans="1:12" x14ac:dyDescent="0.35">
      <c r="A33" s="3" t="s">
        <v>6</v>
      </c>
      <c r="B33" s="1"/>
      <c r="C33" s="1">
        <f>C19*$C$8</f>
        <v>0</v>
      </c>
      <c r="D33" s="1">
        <f t="shared" ref="D33:K33" si="3">D19*$C$8</f>
        <v>6000</v>
      </c>
      <c r="E33" s="1">
        <f t="shared" si="3"/>
        <v>6000</v>
      </c>
      <c r="F33" s="1">
        <f t="shared" si="3"/>
        <v>6000</v>
      </c>
      <c r="G33" s="1">
        <f t="shared" si="3"/>
        <v>6000</v>
      </c>
      <c r="H33" s="1">
        <f t="shared" si="3"/>
        <v>6000</v>
      </c>
      <c r="I33" s="1">
        <f t="shared" si="3"/>
        <v>6000</v>
      </c>
      <c r="J33" s="1">
        <f t="shared" si="3"/>
        <v>6000</v>
      </c>
      <c r="K33" s="1">
        <f t="shared" si="3"/>
        <v>6000</v>
      </c>
      <c r="L33" s="1"/>
    </row>
    <row r="34" spans="1:12" x14ac:dyDescent="0.35">
      <c r="A34" s="3" t="s">
        <v>7</v>
      </c>
      <c r="B34" s="1"/>
      <c r="C34" s="1">
        <f>C20*$C$9</f>
        <v>0</v>
      </c>
      <c r="D34" s="1">
        <f t="shared" ref="D34:K34" si="4">D20*$C$9</f>
        <v>2400</v>
      </c>
      <c r="E34" s="1">
        <f t="shared" si="4"/>
        <v>2400</v>
      </c>
      <c r="F34" s="1">
        <f t="shared" si="4"/>
        <v>2400</v>
      </c>
      <c r="G34" s="1">
        <f t="shared" si="4"/>
        <v>2400</v>
      </c>
      <c r="H34" s="1">
        <f t="shared" si="4"/>
        <v>2400</v>
      </c>
      <c r="I34" s="1">
        <f t="shared" si="4"/>
        <v>2400</v>
      </c>
      <c r="J34" s="1">
        <f t="shared" si="4"/>
        <v>2400</v>
      </c>
      <c r="K34" s="1">
        <f t="shared" si="4"/>
        <v>2400</v>
      </c>
      <c r="L34" s="1"/>
    </row>
    <row r="35" spans="1:12" x14ac:dyDescent="0.35">
      <c r="A35" s="3" t="s">
        <v>8</v>
      </c>
      <c r="B35" s="1"/>
      <c r="C35" s="1">
        <f>C21*$C$10</f>
        <v>0</v>
      </c>
      <c r="D35" s="1">
        <f t="shared" ref="D35:K35" si="5">D21*$C$10</f>
        <v>28500</v>
      </c>
      <c r="E35" s="1">
        <f t="shared" si="5"/>
        <v>28500</v>
      </c>
      <c r="F35" s="1">
        <f t="shared" si="5"/>
        <v>28500</v>
      </c>
      <c r="G35" s="1">
        <f t="shared" si="5"/>
        <v>28500</v>
      </c>
      <c r="H35" s="1">
        <f t="shared" si="5"/>
        <v>28500</v>
      </c>
      <c r="I35" s="1">
        <f t="shared" si="5"/>
        <v>28500</v>
      </c>
      <c r="J35" s="1">
        <f t="shared" si="5"/>
        <v>28500</v>
      </c>
      <c r="K35" s="1">
        <f t="shared" si="5"/>
        <v>28500</v>
      </c>
      <c r="L35" s="1"/>
    </row>
    <row r="36" spans="1:12" x14ac:dyDescent="0.35">
      <c r="A36" s="3" t="s">
        <v>9</v>
      </c>
      <c r="B36" s="1"/>
      <c r="C36" s="1">
        <f>C22*$C$11</f>
        <v>0</v>
      </c>
      <c r="D36" s="1">
        <f t="shared" ref="D36:K36" si="6">D22*$C$11</f>
        <v>4200</v>
      </c>
      <c r="E36" s="1">
        <f t="shared" si="6"/>
        <v>4200</v>
      </c>
      <c r="F36" s="1">
        <f t="shared" si="6"/>
        <v>4200</v>
      </c>
      <c r="G36" s="1">
        <f t="shared" si="6"/>
        <v>4200</v>
      </c>
      <c r="H36" s="1">
        <f t="shared" si="6"/>
        <v>4200</v>
      </c>
      <c r="I36" s="1">
        <f t="shared" si="6"/>
        <v>4200</v>
      </c>
      <c r="J36" s="1">
        <f t="shared" si="6"/>
        <v>4200</v>
      </c>
      <c r="K36" s="1">
        <f t="shared" si="6"/>
        <v>4200</v>
      </c>
      <c r="L36" s="1"/>
    </row>
    <row r="37" spans="1:12" x14ac:dyDescent="0.35">
      <c r="A37" s="3" t="s">
        <v>10</v>
      </c>
      <c r="B37" s="1"/>
      <c r="C37" s="1">
        <f>C23*$C$3</f>
        <v>0</v>
      </c>
      <c r="D37" s="1">
        <f t="shared" ref="D37:K37" si="7">D23*$C$3</f>
        <v>18900</v>
      </c>
      <c r="E37" s="1">
        <f t="shared" si="7"/>
        <v>19850</v>
      </c>
      <c r="F37" s="1">
        <f t="shared" si="7"/>
        <v>20850</v>
      </c>
      <c r="G37" s="1">
        <f t="shared" si="7"/>
        <v>21900</v>
      </c>
      <c r="H37" s="1">
        <f t="shared" si="7"/>
        <v>22950</v>
      </c>
      <c r="I37" s="1">
        <f t="shared" si="7"/>
        <v>24100</v>
      </c>
      <c r="J37" s="1">
        <f t="shared" si="7"/>
        <v>25350</v>
      </c>
      <c r="K37" s="1">
        <f t="shared" si="7"/>
        <v>26600</v>
      </c>
      <c r="L37" s="1"/>
    </row>
    <row r="38" spans="1:12" ht="13.15" x14ac:dyDescent="0.4">
      <c r="A38" s="6" t="s">
        <v>14</v>
      </c>
      <c r="B38" s="4"/>
      <c r="C38" s="4">
        <f>SUM(C30:C37)</f>
        <v>0</v>
      </c>
      <c r="D38" s="4">
        <f t="shared" ref="D38:K38" si="8">SUM(D30:D37)</f>
        <v>375250</v>
      </c>
      <c r="E38" s="4">
        <f t="shared" si="8"/>
        <v>379200</v>
      </c>
      <c r="F38" s="4">
        <f t="shared" si="8"/>
        <v>385450</v>
      </c>
      <c r="G38" s="4">
        <f t="shared" si="8"/>
        <v>391750</v>
      </c>
      <c r="H38" s="4">
        <f t="shared" si="8"/>
        <v>398050</v>
      </c>
      <c r="I38" s="4">
        <f t="shared" si="8"/>
        <v>404450</v>
      </c>
      <c r="J38" s="4">
        <f t="shared" si="8"/>
        <v>410950</v>
      </c>
      <c r="K38" s="4">
        <f t="shared" si="8"/>
        <v>417450</v>
      </c>
      <c r="L38" s="1"/>
    </row>
    <row r="39" spans="1:12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s="5" customFormat="1" ht="13.15" x14ac:dyDescent="0.4">
      <c r="A40" s="4"/>
      <c r="B40" s="4">
        <v>0</v>
      </c>
      <c r="C40" s="4">
        <v>1</v>
      </c>
      <c r="D40" s="4">
        <v>2</v>
      </c>
      <c r="E40" s="4">
        <v>3</v>
      </c>
      <c r="F40" s="4">
        <v>4</v>
      </c>
      <c r="G40" s="4">
        <v>5</v>
      </c>
      <c r="H40" s="4">
        <v>6</v>
      </c>
      <c r="I40" s="4">
        <v>7</v>
      </c>
      <c r="J40" s="4">
        <v>8</v>
      </c>
      <c r="K40" s="4">
        <v>9</v>
      </c>
      <c r="L40" s="4"/>
    </row>
    <row r="41" spans="1:12" x14ac:dyDescent="0.35">
      <c r="A41" s="3" t="s">
        <v>15</v>
      </c>
      <c r="B41" s="1">
        <v>605000</v>
      </c>
      <c r="C41" s="1">
        <v>385000</v>
      </c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5">
      <c r="A42" s="3" t="s">
        <v>16</v>
      </c>
      <c r="B42" s="1">
        <v>0</v>
      </c>
      <c r="C42" s="1">
        <v>0</v>
      </c>
      <c r="D42" s="1">
        <f>D38</f>
        <v>375250</v>
      </c>
      <c r="E42" s="1">
        <f t="shared" ref="E42:K42" si="9">E38</f>
        <v>379200</v>
      </c>
      <c r="F42" s="1">
        <f t="shared" si="9"/>
        <v>385450</v>
      </c>
      <c r="G42" s="1">
        <f t="shared" si="9"/>
        <v>391750</v>
      </c>
      <c r="H42" s="1">
        <f t="shared" si="9"/>
        <v>398050</v>
      </c>
      <c r="I42" s="1">
        <f t="shared" si="9"/>
        <v>404450</v>
      </c>
      <c r="J42" s="1">
        <f t="shared" si="9"/>
        <v>410950</v>
      </c>
      <c r="K42" s="1">
        <f t="shared" si="9"/>
        <v>417450</v>
      </c>
      <c r="L42" s="1"/>
    </row>
    <row r="43" spans="1:12" x14ac:dyDescent="0.35">
      <c r="A43" s="3" t="s">
        <v>20</v>
      </c>
      <c r="B43" s="1"/>
      <c r="C43" s="1"/>
      <c r="D43" s="1">
        <f>D42*$B$58</f>
        <v>75050</v>
      </c>
      <c r="E43" s="1">
        <f t="shared" ref="E43:K43" si="10">E42*$B$58</f>
        <v>75840</v>
      </c>
      <c r="F43" s="1">
        <f t="shared" si="10"/>
        <v>77090</v>
      </c>
      <c r="G43" s="1">
        <f t="shared" si="10"/>
        <v>78350</v>
      </c>
      <c r="H43" s="1">
        <f t="shared" si="10"/>
        <v>79610</v>
      </c>
      <c r="I43" s="1">
        <f t="shared" si="10"/>
        <v>80890</v>
      </c>
      <c r="J43" s="1">
        <f t="shared" si="10"/>
        <v>82190</v>
      </c>
      <c r="K43" s="1">
        <f t="shared" si="10"/>
        <v>83490</v>
      </c>
      <c r="L43" s="1"/>
    </row>
    <row r="44" spans="1:12" x14ac:dyDescent="0.35">
      <c r="A44" s="3" t="s">
        <v>24</v>
      </c>
      <c r="B44" s="1"/>
      <c r="C44" s="1"/>
      <c r="D44" s="1">
        <f>(B41+C41)*0.1</f>
        <v>99000</v>
      </c>
      <c r="E44" s="1">
        <f>D44</f>
        <v>99000</v>
      </c>
      <c r="F44" s="1">
        <f t="shared" ref="F44:K44" si="11">E44</f>
        <v>99000</v>
      </c>
      <c r="G44" s="1">
        <f t="shared" si="11"/>
        <v>99000</v>
      </c>
      <c r="H44" s="1">
        <f t="shared" si="11"/>
        <v>99000</v>
      </c>
      <c r="I44" s="1">
        <f t="shared" si="11"/>
        <v>99000</v>
      </c>
      <c r="J44" s="1">
        <f t="shared" si="11"/>
        <v>99000</v>
      </c>
      <c r="K44" s="1">
        <f t="shared" si="11"/>
        <v>99000</v>
      </c>
      <c r="L44" s="1"/>
    </row>
    <row r="45" spans="1:12" x14ac:dyDescent="0.35">
      <c r="A45" s="3"/>
      <c r="B45" s="1">
        <f t="shared" ref="B45:K45" si="12">B42-B41-B43-B44</f>
        <v>-605000</v>
      </c>
      <c r="C45" s="1">
        <f t="shared" si="12"/>
        <v>-385000</v>
      </c>
      <c r="D45" s="1">
        <f t="shared" si="12"/>
        <v>201200</v>
      </c>
      <c r="E45" s="1">
        <f t="shared" si="12"/>
        <v>204360</v>
      </c>
      <c r="F45" s="1">
        <f t="shared" si="12"/>
        <v>209360</v>
      </c>
      <c r="G45" s="1">
        <f t="shared" si="12"/>
        <v>214400</v>
      </c>
      <c r="H45" s="1">
        <f t="shared" si="12"/>
        <v>219440</v>
      </c>
      <c r="I45" s="1">
        <f t="shared" si="12"/>
        <v>224560</v>
      </c>
      <c r="J45" s="1">
        <f t="shared" si="12"/>
        <v>229760</v>
      </c>
      <c r="K45" s="1">
        <f t="shared" si="12"/>
        <v>234960</v>
      </c>
      <c r="L45" s="1"/>
    </row>
    <row r="46" spans="1:12" x14ac:dyDescent="0.35">
      <c r="A46" s="3" t="s">
        <v>23</v>
      </c>
      <c r="B46" s="1"/>
      <c r="C46" s="1"/>
      <c r="D46" s="1">
        <f>(B41+C41)*B59</f>
        <v>99000</v>
      </c>
      <c r="E46" s="1">
        <f t="shared" ref="E46:K46" si="13">D46*(1-$B$59)</f>
        <v>89100</v>
      </c>
      <c r="F46" s="1">
        <f t="shared" si="13"/>
        <v>80190</v>
      </c>
      <c r="G46" s="1">
        <f t="shared" si="13"/>
        <v>72171</v>
      </c>
      <c r="H46" s="1">
        <f t="shared" si="13"/>
        <v>64953.9</v>
      </c>
      <c r="I46" s="1">
        <f t="shared" si="13"/>
        <v>58458.51</v>
      </c>
      <c r="J46" s="1">
        <f t="shared" si="13"/>
        <v>52612.659</v>
      </c>
      <c r="K46" s="1">
        <f t="shared" si="13"/>
        <v>47351.393100000001</v>
      </c>
      <c r="L46" s="1"/>
    </row>
    <row r="47" spans="1:12" x14ac:dyDescent="0.35">
      <c r="A47" s="3" t="s">
        <v>38</v>
      </c>
      <c r="B47" s="1"/>
      <c r="C47" s="1"/>
      <c r="D47" s="1">
        <f>D45-D46</f>
        <v>102200</v>
      </c>
      <c r="E47" s="1">
        <f t="shared" ref="E47:K47" si="14">E45-E46</f>
        <v>115260</v>
      </c>
      <c r="F47" s="1">
        <f t="shared" si="14"/>
        <v>129170</v>
      </c>
      <c r="G47" s="1">
        <f t="shared" si="14"/>
        <v>142229</v>
      </c>
      <c r="H47" s="1">
        <f t="shared" si="14"/>
        <v>154486.1</v>
      </c>
      <c r="I47" s="1">
        <f t="shared" si="14"/>
        <v>166101.49</v>
      </c>
      <c r="J47" s="1">
        <f t="shared" si="14"/>
        <v>177147.34100000001</v>
      </c>
      <c r="K47" s="1">
        <f t="shared" si="14"/>
        <v>187608.60690000001</v>
      </c>
      <c r="L47" s="1"/>
    </row>
    <row r="48" spans="1:12" x14ac:dyDescent="0.35">
      <c r="A48" s="3" t="s">
        <v>39</v>
      </c>
      <c r="B48" s="1"/>
      <c r="C48" s="1"/>
      <c r="D48" s="1">
        <f>IF(D47&gt;0,D47*$B$60,0)</f>
        <v>20440</v>
      </c>
      <c r="E48" s="1">
        <f t="shared" ref="E48:K48" si="15">IF(E47&gt;0,E47*$B$60,0)</f>
        <v>23052</v>
      </c>
      <c r="F48" s="1">
        <f t="shared" si="15"/>
        <v>25834</v>
      </c>
      <c r="G48" s="1">
        <f t="shared" si="15"/>
        <v>28445.800000000003</v>
      </c>
      <c r="H48" s="1">
        <f t="shared" si="15"/>
        <v>30897.22</v>
      </c>
      <c r="I48" s="1">
        <f t="shared" si="15"/>
        <v>33220.298000000003</v>
      </c>
      <c r="J48" s="1">
        <f t="shared" si="15"/>
        <v>35429.468200000003</v>
      </c>
      <c r="K48" s="1">
        <f t="shared" si="15"/>
        <v>37521.721380000003</v>
      </c>
      <c r="L48" s="1"/>
    </row>
    <row r="49" spans="1:12" x14ac:dyDescent="0.35">
      <c r="A49" s="46" t="s">
        <v>42</v>
      </c>
      <c r="B49" s="1">
        <f>B45-B48</f>
        <v>-605000</v>
      </c>
      <c r="C49" s="1">
        <f>C45-C48</f>
        <v>-385000</v>
      </c>
      <c r="D49" s="1">
        <f>D47-D48</f>
        <v>81760</v>
      </c>
      <c r="E49" s="1">
        <f t="shared" ref="E49:K49" si="16">E47-E48</f>
        <v>92208</v>
      </c>
      <c r="F49" s="1">
        <f t="shared" si="16"/>
        <v>103336</v>
      </c>
      <c r="G49" s="1">
        <f t="shared" si="16"/>
        <v>113783.2</v>
      </c>
      <c r="H49" s="1">
        <f t="shared" si="16"/>
        <v>123588.88</v>
      </c>
      <c r="I49" s="1">
        <f t="shared" si="16"/>
        <v>132881.19199999998</v>
      </c>
      <c r="J49" s="1">
        <f t="shared" si="16"/>
        <v>141717.87280000001</v>
      </c>
      <c r="K49" s="1">
        <f t="shared" si="16"/>
        <v>150086.88552000001</v>
      </c>
      <c r="L49" s="1"/>
    </row>
    <row r="50" spans="1:12" x14ac:dyDescent="0.35">
      <c r="A50" s="54" t="s">
        <v>25</v>
      </c>
      <c r="B50" s="54"/>
      <c r="C50" s="54"/>
      <c r="D50" s="1"/>
      <c r="E50" s="1"/>
      <c r="F50" s="1"/>
      <c r="G50" s="1"/>
      <c r="H50" s="1"/>
      <c r="I50" s="1"/>
      <c r="J50" s="1"/>
      <c r="K50" s="1"/>
      <c r="L50" s="1">
        <f>SUM(D46:K46)</f>
        <v>563837.4621</v>
      </c>
    </row>
    <row r="51" spans="1:12" x14ac:dyDescent="0.35">
      <c r="A51" s="3" t="s">
        <v>26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>
        <f>B41+C41-L50</f>
        <v>426162.5379</v>
      </c>
    </row>
    <row r="52" spans="1:12" x14ac:dyDescent="0.35">
      <c r="A52" s="3" t="s">
        <v>27</v>
      </c>
      <c r="B52" s="1">
        <f>B45+B46*0.7</f>
        <v>-605000</v>
      </c>
      <c r="C52" s="1">
        <f>C45+C46*0.7</f>
        <v>-385000</v>
      </c>
      <c r="D52" s="1">
        <f>D49+D46</f>
        <v>180760</v>
      </c>
      <c r="E52" s="1">
        <f t="shared" ref="E52:K52" si="17">E49+E46</f>
        <v>181308</v>
      </c>
      <c r="F52" s="1">
        <f t="shared" si="17"/>
        <v>183526</v>
      </c>
      <c r="G52" s="1">
        <f t="shared" si="17"/>
        <v>185954.2</v>
      </c>
      <c r="H52" s="1">
        <f t="shared" si="17"/>
        <v>188542.78</v>
      </c>
      <c r="I52" s="1">
        <f t="shared" si="17"/>
        <v>191339.70199999999</v>
      </c>
      <c r="J52" s="1">
        <f t="shared" si="17"/>
        <v>194330.5318</v>
      </c>
      <c r="K52" s="1">
        <f t="shared" si="17"/>
        <v>197438.27862</v>
      </c>
      <c r="L52" s="1">
        <f>L51</f>
        <v>426162.5379</v>
      </c>
    </row>
    <row r="54" spans="1:12" x14ac:dyDescent="0.35">
      <c r="A54" t="s">
        <v>17</v>
      </c>
      <c r="B54">
        <v>0.1</v>
      </c>
    </row>
    <row r="56" spans="1:12" ht="13.15" x14ac:dyDescent="0.4">
      <c r="A56" t="s">
        <v>18</v>
      </c>
      <c r="B56" s="53">
        <f>NPV(B54,C52:L52)+B52</f>
        <v>114730.31212336523</v>
      </c>
      <c r="C56" s="53"/>
    </row>
    <row r="57" spans="1:12" x14ac:dyDescent="0.35">
      <c r="A57" t="s">
        <v>19</v>
      </c>
      <c r="B57" s="47">
        <f>IRR(B52:L52,B54)</f>
        <v>0.12342246582827365</v>
      </c>
    </row>
    <row r="58" spans="1:12" x14ac:dyDescent="0.35">
      <c r="A58" t="s">
        <v>21</v>
      </c>
      <c r="B58" s="2">
        <v>0.2</v>
      </c>
      <c r="C58" t="s">
        <v>22</v>
      </c>
    </row>
    <row r="59" spans="1:12" x14ac:dyDescent="0.35">
      <c r="A59" t="s">
        <v>23</v>
      </c>
      <c r="B59" s="2">
        <v>0.1</v>
      </c>
    </row>
    <row r="60" spans="1:12" x14ac:dyDescent="0.35">
      <c r="A60" t="s">
        <v>40</v>
      </c>
      <c r="B60" s="2">
        <v>0.2</v>
      </c>
    </row>
  </sheetData>
  <mergeCells count="5">
    <mergeCell ref="A14:K14"/>
    <mergeCell ref="B56:C56"/>
    <mergeCell ref="A50:C50"/>
    <mergeCell ref="B28:K28"/>
    <mergeCell ref="A27:K27"/>
  </mergeCells>
  <phoneticPr fontId="0" type="noConversion"/>
  <pageMargins left="0.75" right="0.75" top="1" bottom="1" header="0.5" footer="0.5"/>
  <pageSetup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opLeftCell="A39" zoomScale="120" zoomScaleNormal="120" workbookViewId="0">
      <selection activeCell="D63" sqref="D63"/>
    </sheetView>
  </sheetViews>
  <sheetFormatPr defaultRowHeight="12.75" x14ac:dyDescent="0.35"/>
  <cols>
    <col min="1" max="1" width="21.53125" style="3" customWidth="1"/>
    <col min="2" max="2" width="14.19921875" style="1" customWidth="1"/>
    <col min="3" max="5" width="9.19921875" style="1" customWidth="1"/>
    <col min="6" max="6" width="12.53125" style="1" customWidth="1"/>
    <col min="7" max="12" width="9.19921875" style="1" customWidth="1"/>
  </cols>
  <sheetData>
    <row r="1" spans="1:11" ht="13.15" x14ac:dyDescent="0.4">
      <c r="A1" s="6" t="s">
        <v>76</v>
      </c>
      <c r="B1" s="4"/>
      <c r="C1" s="4" t="s">
        <v>114</v>
      </c>
    </row>
    <row r="2" spans="1:11" x14ac:dyDescent="0.35">
      <c r="A2" s="3" t="s">
        <v>0</v>
      </c>
      <c r="C2" s="1">
        <f>KPIC!C2</f>
        <v>150</v>
      </c>
    </row>
    <row r="3" spans="1:11" x14ac:dyDescent="0.35">
      <c r="A3" s="3" t="s">
        <v>1</v>
      </c>
      <c r="C3" s="1">
        <f>KPIC!C3</f>
        <v>50</v>
      </c>
    </row>
    <row r="4" spans="1:11" x14ac:dyDescent="0.35">
      <c r="A4" s="3" t="s">
        <v>2</v>
      </c>
      <c r="C4" s="1">
        <f>KPIC!C4</f>
        <v>120</v>
      </c>
    </row>
    <row r="5" spans="1:11" x14ac:dyDescent="0.35">
      <c r="A5" s="3" t="s">
        <v>3</v>
      </c>
      <c r="C5" s="1">
        <f>KPIC!C5</f>
        <v>60</v>
      </c>
    </row>
    <row r="6" spans="1:11" x14ac:dyDescent="0.35">
      <c r="A6" s="3" t="s">
        <v>4</v>
      </c>
      <c r="C6" s="1">
        <f>KPIC!C6</f>
        <v>250</v>
      </c>
    </row>
    <row r="7" spans="1:11" x14ac:dyDescent="0.35">
      <c r="A7" s="3" t="s">
        <v>5</v>
      </c>
      <c r="C7" s="1">
        <f>KPIC!C7</f>
        <v>250</v>
      </c>
    </row>
    <row r="8" spans="1:11" x14ac:dyDescent="0.35">
      <c r="A8" s="3" t="s">
        <v>6</v>
      </c>
      <c r="C8" s="1">
        <f>KPIC!C8</f>
        <v>120</v>
      </c>
    </row>
    <row r="9" spans="1:11" x14ac:dyDescent="0.35">
      <c r="A9" s="3" t="s">
        <v>11</v>
      </c>
      <c r="C9" s="1">
        <f>KPIC!C9</f>
        <v>120</v>
      </c>
    </row>
    <row r="10" spans="1:11" x14ac:dyDescent="0.35">
      <c r="A10" s="3" t="s">
        <v>8</v>
      </c>
      <c r="C10" s="1">
        <f>KPIC!C10</f>
        <v>50</v>
      </c>
    </row>
    <row r="11" spans="1:11" x14ac:dyDescent="0.35">
      <c r="A11" s="3" t="s">
        <v>9</v>
      </c>
      <c r="C11" s="1">
        <f>KPIC!C11</f>
        <v>60</v>
      </c>
    </row>
    <row r="14" spans="1:11" ht="13.15" x14ac:dyDescent="0.4">
      <c r="A14" s="52" t="s">
        <v>12</v>
      </c>
      <c r="B14" s="52"/>
      <c r="C14" s="52"/>
      <c r="D14" s="52"/>
      <c r="E14" s="52"/>
      <c r="F14" s="52"/>
      <c r="G14" s="52"/>
    </row>
    <row r="15" spans="1:11" x14ac:dyDescent="0.35">
      <c r="C15" s="1">
        <v>1</v>
      </c>
      <c r="D15" s="1">
        <v>2</v>
      </c>
      <c r="E15" s="1">
        <v>3</v>
      </c>
      <c r="F15" s="1">
        <v>4</v>
      </c>
      <c r="G15" s="1">
        <v>5</v>
      </c>
      <c r="H15" s="1">
        <v>6</v>
      </c>
      <c r="I15" s="1">
        <v>7</v>
      </c>
      <c r="J15" s="1">
        <v>8</v>
      </c>
      <c r="K15" s="1">
        <v>9</v>
      </c>
    </row>
    <row r="16" spans="1:11" x14ac:dyDescent="0.35">
      <c r="A16" s="3" t="s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18</v>
      </c>
      <c r="I16" s="1">
        <v>79</v>
      </c>
      <c r="J16" s="1">
        <v>141</v>
      </c>
      <c r="K16" s="1">
        <v>205</v>
      </c>
    </row>
    <row r="17" spans="1:11" x14ac:dyDescent="0.35">
      <c r="A17" s="3" t="s">
        <v>4</v>
      </c>
      <c r="C17" s="1">
        <v>0</v>
      </c>
      <c r="D17" s="1">
        <v>770</v>
      </c>
      <c r="E17" s="1">
        <v>770</v>
      </c>
      <c r="F17" s="1">
        <v>770</v>
      </c>
      <c r="G17" s="1">
        <v>770</v>
      </c>
      <c r="H17" s="1">
        <v>770</v>
      </c>
      <c r="I17" s="1">
        <v>770</v>
      </c>
      <c r="J17" s="1">
        <v>770</v>
      </c>
      <c r="K17" s="1">
        <v>770</v>
      </c>
    </row>
    <row r="18" spans="1:11" x14ac:dyDescent="0.35">
      <c r="A18" s="3" t="s">
        <v>5</v>
      </c>
      <c r="C18" s="1">
        <v>0</v>
      </c>
      <c r="D18" s="1">
        <v>75</v>
      </c>
      <c r="E18" s="1">
        <v>117</v>
      </c>
      <c r="F18" s="1">
        <v>174</v>
      </c>
      <c r="G18" s="1">
        <v>233</v>
      </c>
      <c r="H18" s="1">
        <v>275</v>
      </c>
      <c r="I18" s="1">
        <v>275</v>
      </c>
      <c r="J18" s="1">
        <v>275</v>
      </c>
      <c r="K18" s="1">
        <v>275</v>
      </c>
    </row>
    <row r="19" spans="1:11" x14ac:dyDescent="0.35">
      <c r="A19" s="3" t="s">
        <v>6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</row>
    <row r="20" spans="1:11" x14ac:dyDescent="0.35">
      <c r="A20" s="3" t="s">
        <v>7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</row>
    <row r="21" spans="1:11" x14ac:dyDescent="0.35">
      <c r="A21" s="3" t="s">
        <v>8</v>
      </c>
      <c r="C21" s="1">
        <v>0</v>
      </c>
      <c r="D21" s="1">
        <v>570</v>
      </c>
      <c r="E21" s="1">
        <v>570</v>
      </c>
      <c r="F21" s="1">
        <v>570</v>
      </c>
      <c r="G21" s="1">
        <v>570</v>
      </c>
      <c r="H21" s="1">
        <v>570</v>
      </c>
      <c r="I21" s="1">
        <v>570</v>
      </c>
      <c r="J21" s="1">
        <v>570</v>
      </c>
      <c r="K21" s="1">
        <v>570</v>
      </c>
    </row>
    <row r="22" spans="1:11" x14ac:dyDescent="0.35">
      <c r="A22" s="3" t="s">
        <v>9</v>
      </c>
      <c r="C22" s="1">
        <v>0</v>
      </c>
      <c r="D22" s="1">
        <v>70</v>
      </c>
      <c r="E22" s="1">
        <v>70</v>
      </c>
      <c r="F22" s="1">
        <v>70</v>
      </c>
      <c r="G22" s="1">
        <v>70</v>
      </c>
      <c r="H22" s="1">
        <v>70</v>
      </c>
      <c r="I22" s="1">
        <v>70</v>
      </c>
      <c r="J22" s="1">
        <v>70</v>
      </c>
      <c r="K22" s="1">
        <v>70</v>
      </c>
    </row>
    <row r="23" spans="1:11" x14ac:dyDescent="0.35">
      <c r="A23" s="3" t="s">
        <v>10</v>
      </c>
      <c r="C23" s="1">
        <v>0</v>
      </c>
      <c r="D23" s="1">
        <v>378</v>
      </c>
      <c r="E23" s="1">
        <v>397</v>
      </c>
      <c r="F23" s="1">
        <v>417</v>
      </c>
      <c r="G23" s="1">
        <v>438</v>
      </c>
      <c r="H23" s="1">
        <v>459</v>
      </c>
      <c r="I23" s="1">
        <v>482</v>
      </c>
      <c r="J23" s="1">
        <v>507</v>
      </c>
      <c r="K23" s="1">
        <v>532</v>
      </c>
    </row>
    <row r="27" spans="1:11" ht="13.15" x14ac:dyDescent="0.4">
      <c r="A27" s="52" t="s">
        <v>13</v>
      </c>
      <c r="B27" s="52"/>
      <c r="C27" s="52"/>
      <c r="D27" s="52"/>
      <c r="E27" s="52"/>
      <c r="F27" s="52"/>
      <c r="G27" s="52"/>
    </row>
    <row r="28" spans="1:11" x14ac:dyDescent="0.35">
      <c r="C28" s="1">
        <v>1</v>
      </c>
      <c r="D28" s="1">
        <v>2</v>
      </c>
      <c r="E28" s="1">
        <v>3</v>
      </c>
      <c r="F28" s="1">
        <v>4</v>
      </c>
      <c r="G28" s="1">
        <v>5</v>
      </c>
      <c r="H28" s="1">
        <v>6</v>
      </c>
      <c r="I28" s="1">
        <v>7</v>
      </c>
      <c r="J28" s="1">
        <v>8</v>
      </c>
      <c r="K28" s="1">
        <v>9</v>
      </c>
    </row>
    <row r="29" spans="1:11" x14ac:dyDescent="0.35">
      <c r="A29" s="3" t="s">
        <v>0</v>
      </c>
      <c r="C29" s="1">
        <f>C16*$C$2</f>
        <v>0</v>
      </c>
      <c r="D29" s="1">
        <f>D16*$C$2</f>
        <v>0</v>
      </c>
      <c r="E29" s="1">
        <f t="shared" ref="E29:K29" si="0">E16*$C$2</f>
        <v>0</v>
      </c>
      <c r="F29" s="1">
        <f t="shared" si="0"/>
        <v>0</v>
      </c>
      <c r="G29" s="1">
        <f t="shared" si="0"/>
        <v>0</v>
      </c>
      <c r="H29" s="1">
        <f t="shared" si="0"/>
        <v>2700</v>
      </c>
      <c r="I29" s="1">
        <f t="shared" si="0"/>
        <v>11850</v>
      </c>
      <c r="J29" s="1">
        <f t="shared" si="0"/>
        <v>21150</v>
      </c>
      <c r="K29" s="1">
        <f t="shared" si="0"/>
        <v>30750</v>
      </c>
    </row>
    <row r="30" spans="1:11" x14ac:dyDescent="0.35">
      <c r="A30" s="3" t="s">
        <v>4</v>
      </c>
      <c r="C30" s="1">
        <f>C17*$C$6</f>
        <v>0</v>
      </c>
      <c r="D30" s="1">
        <f t="shared" ref="D30:K30" si="1">D17*$C$6</f>
        <v>192500</v>
      </c>
      <c r="E30" s="1">
        <f t="shared" si="1"/>
        <v>192500</v>
      </c>
      <c r="F30" s="1">
        <f t="shared" si="1"/>
        <v>192500</v>
      </c>
      <c r="G30" s="1">
        <f t="shared" si="1"/>
        <v>192500</v>
      </c>
      <c r="H30" s="1">
        <f t="shared" si="1"/>
        <v>192500</v>
      </c>
      <c r="I30" s="1">
        <f t="shared" si="1"/>
        <v>192500</v>
      </c>
      <c r="J30" s="1">
        <f t="shared" si="1"/>
        <v>192500</v>
      </c>
      <c r="K30" s="1">
        <f t="shared" si="1"/>
        <v>192500</v>
      </c>
    </row>
    <row r="31" spans="1:11" x14ac:dyDescent="0.35">
      <c r="A31" s="3" t="s">
        <v>5</v>
      </c>
      <c r="C31" s="1">
        <f>C18*$C$7</f>
        <v>0</v>
      </c>
      <c r="D31" s="1">
        <f t="shared" ref="D31:K31" si="2">D18*$C$7</f>
        <v>18750</v>
      </c>
      <c r="E31" s="1">
        <f t="shared" si="2"/>
        <v>29250</v>
      </c>
      <c r="F31" s="1">
        <f t="shared" si="2"/>
        <v>43500</v>
      </c>
      <c r="G31" s="1">
        <f t="shared" si="2"/>
        <v>58250</v>
      </c>
      <c r="H31" s="1">
        <f t="shared" si="2"/>
        <v>68750</v>
      </c>
      <c r="I31" s="1">
        <f t="shared" si="2"/>
        <v>68750</v>
      </c>
      <c r="J31" s="1">
        <f t="shared" si="2"/>
        <v>68750</v>
      </c>
      <c r="K31" s="1">
        <f t="shared" si="2"/>
        <v>68750</v>
      </c>
    </row>
    <row r="32" spans="1:11" x14ac:dyDescent="0.35">
      <c r="A32" s="3" t="s">
        <v>6</v>
      </c>
      <c r="C32" s="1">
        <f>C19*$C$8</f>
        <v>0</v>
      </c>
      <c r="D32" s="1">
        <f t="shared" ref="D32:K32" si="3">D19*$C$8</f>
        <v>0</v>
      </c>
      <c r="E32" s="1">
        <f t="shared" si="3"/>
        <v>0</v>
      </c>
      <c r="F32" s="1">
        <f t="shared" si="3"/>
        <v>0</v>
      </c>
      <c r="G32" s="1">
        <f t="shared" si="3"/>
        <v>0</v>
      </c>
      <c r="H32" s="1">
        <f t="shared" si="3"/>
        <v>0</v>
      </c>
      <c r="I32" s="1">
        <f t="shared" si="3"/>
        <v>0</v>
      </c>
      <c r="J32" s="1">
        <f t="shared" si="3"/>
        <v>0</v>
      </c>
      <c r="K32" s="1">
        <f t="shared" si="3"/>
        <v>0</v>
      </c>
    </row>
    <row r="33" spans="1:12" x14ac:dyDescent="0.35">
      <c r="A33" s="3" t="s">
        <v>7</v>
      </c>
      <c r="C33" s="1">
        <f>C20*$C$9</f>
        <v>0</v>
      </c>
      <c r="D33" s="1">
        <f t="shared" ref="D33:K33" si="4">D20*$C$9</f>
        <v>0</v>
      </c>
      <c r="E33" s="1">
        <f t="shared" si="4"/>
        <v>0</v>
      </c>
      <c r="F33" s="1">
        <f t="shared" si="4"/>
        <v>0</v>
      </c>
      <c r="G33" s="1">
        <f t="shared" si="4"/>
        <v>0</v>
      </c>
      <c r="H33" s="1">
        <f t="shared" si="4"/>
        <v>0</v>
      </c>
      <c r="I33" s="1">
        <f t="shared" si="4"/>
        <v>0</v>
      </c>
      <c r="J33" s="1">
        <f t="shared" si="4"/>
        <v>0</v>
      </c>
      <c r="K33" s="1">
        <f t="shared" si="4"/>
        <v>0</v>
      </c>
    </row>
    <row r="34" spans="1:12" x14ac:dyDescent="0.35">
      <c r="A34" s="3" t="s">
        <v>8</v>
      </c>
      <c r="C34" s="1">
        <f>C21*$C$10</f>
        <v>0</v>
      </c>
      <c r="D34" s="1">
        <f t="shared" ref="D34:K34" si="5">D21*$C$10</f>
        <v>28500</v>
      </c>
      <c r="E34" s="1">
        <f t="shared" si="5"/>
        <v>28500</v>
      </c>
      <c r="F34" s="1">
        <f t="shared" si="5"/>
        <v>28500</v>
      </c>
      <c r="G34" s="1">
        <f t="shared" si="5"/>
        <v>28500</v>
      </c>
      <c r="H34" s="1">
        <f t="shared" si="5"/>
        <v>28500</v>
      </c>
      <c r="I34" s="1">
        <f t="shared" si="5"/>
        <v>28500</v>
      </c>
      <c r="J34" s="1">
        <f t="shared" si="5"/>
        <v>28500</v>
      </c>
      <c r="K34" s="1">
        <f t="shared" si="5"/>
        <v>28500</v>
      </c>
    </row>
    <row r="35" spans="1:12" x14ac:dyDescent="0.35">
      <c r="A35" s="3" t="s">
        <v>9</v>
      </c>
      <c r="C35" s="1">
        <f>C22*$C$11</f>
        <v>0</v>
      </c>
      <c r="D35" s="1">
        <f t="shared" ref="D35:K35" si="6">D22*$C$11</f>
        <v>4200</v>
      </c>
      <c r="E35" s="1">
        <f t="shared" si="6"/>
        <v>4200</v>
      </c>
      <c r="F35" s="1">
        <f t="shared" si="6"/>
        <v>4200</v>
      </c>
      <c r="G35" s="1">
        <f t="shared" si="6"/>
        <v>4200</v>
      </c>
      <c r="H35" s="1">
        <f t="shared" si="6"/>
        <v>4200</v>
      </c>
      <c r="I35" s="1">
        <f t="shared" si="6"/>
        <v>4200</v>
      </c>
      <c r="J35" s="1">
        <f t="shared" si="6"/>
        <v>4200</v>
      </c>
      <c r="K35" s="1">
        <f t="shared" si="6"/>
        <v>4200</v>
      </c>
    </row>
    <row r="36" spans="1:12" x14ac:dyDescent="0.35">
      <c r="A36" s="3" t="s">
        <v>10</v>
      </c>
      <c r="C36" s="1">
        <f>C23*$C$3</f>
        <v>0</v>
      </c>
      <c r="D36" s="1">
        <f t="shared" ref="D36:K36" si="7">D23*$C$3</f>
        <v>18900</v>
      </c>
      <c r="E36" s="1">
        <f t="shared" si="7"/>
        <v>19850</v>
      </c>
      <c r="F36" s="1">
        <f t="shared" si="7"/>
        <v>20850</v>
      </c>
      <c r="G36" s="1">
        <f t="shared" si="7"/>
        <v>21900</v>
      </c>
      <c r="H36" s="1">
        <f t="shared" si="7"/>
        <v>22950</v>
      </c>
      <c r="I36" s="1">
        <f t="shared" si="7"/>
        <v>24100</v>
      </c>
      <c r="J36" s="1">
        <f t="shared" si="7"/>
        <v>25350</v>
      </c>
      <c r="K36" s="1">
        <f t="shared" si="7"/>
        <v>26600</v>
      </c>
    </row>
    <row r="38" spans="1:12" x14ac:dyDescent="0.35">
      <c r="A38" s="3" t="s">
        <v>14</v>
      </c>
      <c r="C38" s="1">
        <f>SUM(C29:C36)</f>
        <v>0</v>
      </c>
      <c r="D38" s="1">
        <f t="shared" ref="D38:K38" si="8">SUM(D29:D36)</f>
        <v>262850</v>
      </c>
      <c r="E38" s="1">
        <f t="shared" si="8"/>
        <v>274300</v>
      </c>
      <c r="F38" s="1">
        <f t="shared" si="8"/>
        <v>289550</v>
      </c>
      <c r="G38" s="1">
        <f t="shared" si="8"/>
        <v>305350</v>
      </c>
      <c r="H38" s="1">
        <f t="shared" si="8"/>
        <v>319600</v>
      </c>
      <c r="I38" s="1">
        <f t="shared" si="8"/>
        <v>329900</v>
      </c>
      <c r="J38" s="1">
        <f t="shared" si="8"/>
        <v>340450</v>
      </c>
      <c r="K38" s="1">
        <f t="shared" si="8"/>
        <v>351300</v>
      </c>
    </row>
    <row r="40" spans="1:12" s="5" customFormat="1" ht="13.15" x14ac:dyDescent="0.4">
      <c r="A40" s="6"/>
      <c r="B40" s="4">
        <v>0</v>
      </c>
      <c r="C40" s="4">
        <v>1</v>
      </c>
      <c r="D40" s="4">
        <v>2</v>
      </c>
      <c r="E40" s="4">
        <v>3</v>
      </c>
      <c r="F40" s="4">
        <v>4</v>
      </c>
      <c r="G40" s="4">
        <v>5</v>
      </c>
      <c r="H40" s="4">
        <v>6</v>
      </c>
      <c r="I40" s="4">
        <v>7</v>
      </c>
      <c r="J40" s="4">
        <v>8</v>
      </c>
      <c r="K40" s="4">
        <v>9</v>
      </c>
      <c r="L40" s="4"/>
    </row>
    <row r="41" spans="1:12" x14ac:dyDescent="0.35">
      <c r="A41" s="3" t="s">
        <v>15</v>
      </c>
      <c r="B41" s="1">
        <v>605000</v>
      </c>
      <c r="C41" s="1">
        <v>385000</v>
      </c>
    </row>
    <row r="42" spans="1:12" x14ac:dyDescent="0.35">
      <c r="A42" s="3" t="s">
        <v>16</v>
      </c>
      <c r="B42" s="1">
        <v>0</v>
      </c>
      <c r="C42" s="1">
        <v>0</v>
      </c>
      <c r="D42" s="1">
        <f>D38</f>
        <v>262850</v>
      </c>
      <c r="E42" s="1">
        <f t="shared" ref="E42:K42" si="9">E38</f>
        <v>274300</v>
      </c>
      <c r="F42" s="1">
        <f t="shared" si="9"/>
        <v>289550</v>
      </c>
      <c r="G42" s="1">
        <f t="shared" si="9"/>
        <v>305350</v>
      </c>
      <c r="H42" s="1">
        <f t="shared" si="9"/>
        <v>319600</v>
      </c>
      <c r="I42" s="1">
        <f t="shared" si="9"/>
        <v>329900</v>
      </c>
      <c r="J42" s="1">
        <f t="shared" si="9"/>
        <v>340450</v>
      </c>
      <c r="K42" s="1">
        <f t="shared" si="9"/>
        <v>351300</v>
      </c>
    </row>
    <row r="43" spans="1:12" x14ac:dyDescent="0.35">
      <c r="A43" s="3" t="s">
        <v>20</v>
      </c>
      <c r="D43" s="1">
        <f>D42*$B$58</f>
        <v>52570</v>
      </c>
      <c r="E43" s="1">
        <f t="shared" ref="E43:K43" si="10">E42*$B$58</f>
        <v>54860</v>
      </c>
      <c r="F43" s="1">
        <f t="shared" si="10"/>
        <v>57910</v>
      </c>
      <c r="G43" s="1">
        <f t="shared" si="10"/>
        <v>61070</v>
      </c>
      <c r="H43" s="1">
        <f t="shared" si="10"/>
        <v>63920</v>
      </c>
      <c r="I43" s="1">
        <f t="shared" si="10"/>
        <v>65980</v>
      </c>
      <c r="J43" s="1">
        <f t="shared" si="10"/>
        <v>68090</v>
      </c>
      <c r="K43" s="1">
        <f t="shared" si="10"/>
        <v>70260</v>
      </c>
    </row>
    <row r="44" spans="1:12" x14ac:dyDescent="0.35">
      <c r="A44" s="3" t="s">
        <v>24</v>
      </c>
      <c r="D44" s="1">
        <f>(B41+C41)*0.1</f>
        <v>99000</v>
      </c>
      <c r="E44" s="1">
        <f>D44</f>
        <v>99000</v>
      </c>
      <c r="F44" s="1">
        <f t="shared" ref="F44:K44" si="11">E44</f>
        <v>99000</v>
      </c>
      <c r="G44" s="1">
        <f t="shared" si="11"/>
        <v>99000</v>
      </c>
      <c r="H44" s="1">
        <f t="shared" si="11"/>
        <v>99000</v>
      </c>
      <c r="I44" s="1">
        <f t="shared" si="11"/>
        <v>99000</v>
      </c>
      <c r="J44" s="1">
        <f t="shared" si="11"/>
        <v>99000</v>
      </c>
      <c r="K44" s="1">
        <f t="shared" si="11"/>
        <v>99000</v>
      </c>
    </row>
    <row r="45" spans="1:12" x14ac:dyDescent="0.35">
      <c r="B45" s="1">
        <f t="shared" ref="B45:K45" si="12">B42-B41-B43-B44</f>
        <v>-605000</v>
      </c>
      <c r="C45" s="1">
        <f t="shared" si="12"/>
        <v>-385000</v>
      </c>
      <c r="D45" s="1">
        <f t="shared" si="12"/>
        <v>111280</v>
      </c>
      <c r="E45" s="1">
        <f t="shared" si="12"/>
        <v>120440</v>
      </c>
      <c r="F45" s="1">
        <f t="shared" si="12"/>
        <v>132640</v>
      </c>
      <c r="G45" s="1">
        <f t="shared" si="12"/>
        <v>145280</v>
      </c>
      <c r="H45" s="1">
        <f t="shared" si="12"/>
        <v>156680</v>
      </c>
      <c r="I45" s="1">
        <f t="shared" si="12"/>
        <v>164920</v>
      </c>
      <c r="J45" s="1">
        <f t="shared" si="12"/>
        <v>173360</v>
      </c>
      <c r="K45" s="1">
        <f t="shared" si="12"/>
        <v>182040</v>
      </c>
    </row>
    <row r="46" spans="1:12" x14ac:dyDescent="0.35">
      <c r="A46" s="3" t="s">
        <v>23</v>
      </c>
      <c r="D46" s="1">
        <f>(B41+C41)*B59</f>
        <v>99000</v>
      </c>
      <c r="E46" s="1">
        <f t="shared" ref="E46:K46" si="13">D46*(1-$B$59)</f>
        <v>89100</v>
      </c>
      <c r="F46" s="1">
        <f t="shared" si="13"/>
        <v>80190</v>
      </c>
      <c r="G46" s="1">
        <f t="shared" si="13"/>
        <v>72171</v>
      </c>
      <c r="H46" s="1">
        <f t="shared" si="13"/>
        <v>64953.9</v>
      </c>
      <c r="I46" s="1">
        <f t="shared" si="13"/>
        <v>58458.51</v>
      </c>
      <c r="J46" s="1">
        <f t="shared" si="13"/>
        <v>52612.659</v>
      </c>
      <c r="K46" s="1">
        <f t="shared" si="13"/>
        <v>47351.393100000001</v>
      </c>
    </row>
    <row r="47" spans="1:12" x14ac:dyDescent="0.35">
      <c r="A47" s="3" t="s">
        <v>38</v>
      </c>
      <c r="D47" s="1">
        <f>D45-D46</f>
        <v>12280</v>
      </c>
      <c r="E47" s="1">
        <f t="shared" ref="E47:K47" si="14">E45-E46</f>
        <v>31340</v>
      </c>
      <c r="F47" s="1">
        <f t="shared" si="14"/>
        <v>52450</v>
      </c>
      <c r="G47" s="1">
        <f t="shared" si="14"/>
        <v>73109</v>
      </c>
      <c r="H47" s="1">
        <f t="shared" si="14"/>
        <v>91726.1</v>
      </c>
      <c r="I47" s="1">
        <f t="shared" si="14"/>
        <v>106461.48999999999</v>
      </c>
      <c r="J47" s="1">
        <f t="shared" si="14"/>
        <v>120747.341</v>
      </c>
      <c r="K47" s="1">
        <f t="shared" si="14"/>
        <v>134688.60690000001</v>
      </c>
    </row>
    <row r="48" spans="1:12" x14ac:dyDescent="0.35">
      <c r="A48" s="3" t="s">
        <v>41</v>
      </c>
      <c r="D48" s="1">
        <f>IF(D47&gt;0,D47*$B$60,0)</f>
        <v>2456</v>
      </c>
      <c r="E48" s="1">
        <f t="shared" ref="E48:K48" si="15">IF(E47&gt;0,E47*$B$60,0)</f>
        <v>6268</v>
      </c>
      <c r="F48" s="1">
        <f t="shared" si="15"/>
        <v>10490</v>
      </c>
      <c r="G48" s="1">
        <f t="shared" si="15"/>
        <v>14621.800000000001</v>
      </c>
      <c r="H48" s="1">
        <f t="shared" si="15"/>
        <v>18345.22</v>
      </c>
      <c r="I48" s="1">
        <f t="shared" si="15"/>
        <v>21292.297999999999</v>
      </c>
      <c r="J48" s="1">
        <f t="shared" si="15"/>
        <v>24149.468200000003</v>
      </c>
      <c r="K48" s="1">
        <f t="shared" si="15"/>
        <v>26937.721380000003</v>
      </c>
    </row>
    <row r="49" spans="1:12" x14ac:dyDescent="0.35">
      <c r="A49" s="3" t="s">
        <v>42</v>
      </c>
      <c r="D49" s="1">
        <f>D47-D48</f>
        <v>9824</v>
      </c>
      <c r="E49" s="1">
        <f t="shared" ref="E49:K49" si="16">E47-E48</f>
        <v>25072</v>
      </c>
      <c r="F49" s="1">
        <f t="shared" si="16"/>
        <v>41960</v>
      </c>
      <c r="G49" s="1">
        <f t="shared" si="16"/>
        <v>58487.199999999997</v>
      </c>
      <c r="H49" s="1">
        <f t="shared" si="16"/>
        <v>73380.88</v>
      </c>
      <c r="I49" s="1">
        <f t="shared" si="16"/>
        <v>85169.191999999995</v>
      </c>
      <c r="J49" s="1">
        <f t="shared" si="16"/>
        <v>96597.872799999997</v>
      </c>
      <c r="K49" s="1">
        <f t="shared" si="16"/>
        <v>107750.88552000001</v>
      </c>
    </row>
    <row r="50" spans="1:12" x14ac:dyDescent="0.35">
      <c r="A50" s="55" t="s">
        <v>25</v>
      </c>
      <c r="B50" s="55"/>
      <c r="C50" s="55"/>
      <c r="L50" s="1">
        <f>SUM(D46:K46)</f>
        <v>563837.4621</v>
      </c>
    </row>
    <row r="51" spans="1:12" x14ac:dyDescent="0.35">
      <c r="A51" s="3" t="s">
        <v>26</v>
      </c>
      <c r="L51" s="1">
        <f>B41+C41-L50</f>
        <v>426162.5379</v>
      </c>
    </row>
    <row r="52" spans="1:12" x14ac:dyDescent="0.35">
      <c r="A52" s="3" t="s">
        <v>27</v>
      </c>
      <c r="B52" s="1">
        <f>B45+B46*0.7</f>
        <v>-605000</v>
      </c>
      <c r="C52" s="1">
        <f>C45+C46*0.7</f>
        <v>-385000</v>
      </c>
      <c r="D52" s="1">
        <f>D49+D46</f>
        <v>108824</v>
      </c>
      <c r="E52" s="1">
        <f t="shared" ref="E52:K52" si="17">E49+E46</f>
        <v>114172</v>
      </c>
      <c r="F52" s="1">
        <f t="shared" si="17"/>
        <v>122150</v>
      </c>
      <c r="G52" s="1">
        <f t="shared" si="17"/>
        <v>130658.2</v>
      </c>
      <c r="H52" s="1">
        <f t="shared" si="17"/>
        <v>138334.78</v>
      </c>
      <c r="I52" s="1">
        <f t="shared" si="17"/>
        <v>143627.70199999999</v>
      </c>
      <c r="J52" s="1">
        <f t="shared" si="17"/>
        <v>149210.5318</v>
      </c>
      <c r="K52" s="1">
        <f t="shared" si="17"/>
        <v>155102.27862</v>
      </c>
      <c r="L52" s="1">
        <f>L51</f>
        <v>426162.5379</v>
      </c>
    </row>
    <row r="54" spans="1:12" x14ac:dyDescent="0.35">
      <c r="A54" s="3" t="s">
        <v>17</v>
      </c>
      <c r="B54" s="1">
        <v>0.1</v>
      </c>
    </row>
    <row r="56" spans="1:12" x14ac:dyDescent="0.35">
      <c r="A56" s="3" t="s">
        <v>18</v>
      </c>
      <c r="B56" s="56">
        <f>NPV(B54,C52:L52)+B52</f>
        <v>-163244.61431939417</v>
      </c>
      <c r="C56" s="56"/>
      <c r="F56" s="48"/>
    </row>
    <row r="57" spans="1:12" x14ac:dyDescent="0.35">
      <c r="A57" s="3" t="s">
        <v>19</v>
      </c>
      <c r="B57" s="8">
        <f>IRR(B52:L52,B54)</f>
        <v>6.6199517508670036E-2</v>
      </c>
    </row>
    <row r="58" spans="1:12" x14ac:dyDescent="0.35">
      <c r="A58" s="3" t="s">
        <v>21</v>
      </c>
      <c r="B58" s="8">
        <f>KPIC!B58</f>
        <v>0.2</v>
      </c>
      <c r="C58" s="1" t="s">
        <v>22</v>
      </c>
    </row>
    <row r="59" spans="1:12" x14ac:dyDescent="0.35">
      <c r="A59" s="3" t="s">
        <v>23</v>
      </c>
      <c r="B59" s="8">
        <f>KPIC!B59</f>
        <v>0.1</v>
      </c>
    </row>
    <row r="60" spans="1:12" x14ac:dyDescent="0.35">
      <c r="A60" s="3" t="s">
        <v>43</v>
      </c>
      <c r="B60" s="8">
        <f>KPIC!B60</f>
        <v>0.2</v>
      </c>
    </row>
    <row r="63" spans="1:12" x14ac:dyDescent="0.35">
      <c r="A63" s="3" t="s">
        <v>44</v>
      </c>
      <c r="B63" s="17">
        <f>KPIC!B56-'REV-KPIC'!B56:C56</f>
        <v>277974.9264427594</v>
      </c>
      <c r="D63" s="1">
        <f>B63/100000</f>
        <v>2.7797492644275938</v>
      </c>
    </row>
  </sheetData>
  <mergeCells count="4">
    <mergeCell ref="A14:G14"/>
    <mergeCell ref="A27:G27"/>
    <mergeCell ref="A50:C50"/>
    <mergeCell ref="B56:C56"/>
  </mergeCells>
  <phoneticPr fontId="0" type="noConversion"/>
  <pageMargins left="0.75" right="0.75" top="1" bottom="1" header="0.5" footer="0.5"/>
  <pageSetup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opLeftCell="A82" zoomScale="130" zoomScaleNormal="130" workbookViewId="0">
      <selection activeCell="E28" sqref="E28"/>
    </sheetView>
  </sheetViews>
  <sheetFormatPr defaultRowHeight="12.75" x14ac:dyDescent="0.35"/>
  <cols>
    <col min="1" max="1" width="18.265625" customWidth="1"/>
    <col min="2" max="2" width="13.53125" customWidth="1"/>
    <col min="3" max="3" width="14.59765625" customWidth="1"/>
    <col min="4" max="5" width="13.53125" customWidth="1"/>
    <col min="6" max="6" width="13.53125" style="1" customWidth="1"/>
    <col min="7" max="12" width="13.53125" customWidth="1"/>
  </cols>
  <sheetData>
    <row r="1" spans="1:6" x14ac:dyDescent="0.35">
      <c r="A1" t="s">
        <v>52</v>
      </c>
    </row>
    <row r="3" spans="1:6" ht="60" x14ac:dyDescent="0.4">
      <c r="A3" s="18" t="s">
        <v>53</v>
      </c>
      <c r="B3" s="18" t="s">
        <v>54</v>
      </c>
      <c r="C3" s="18" t="s">
        <v>55</v>
      </c>
      <c r="D3" s="18" t="s">
        <v>63</v>
      </c>
      <c r="E3" s="18" t="s">
        <v>56</v>
      </c>
      <c r="F3" s="18" t="s">
        <v>64</v>
      </c>
    </row>
    <row r="4" spans="1:6" ht="15.4" x14ac:dyDescent="0.45">
      <c r="A4" s="19" t="s">
        <v>57</v>
      </c>
      <c r="B4" s="19">
        <v>51</v>
      </c>
      <c r="C4" s="19">
        <v>5</v>
      </c>
      <c r="D4" s="20">
        <v>160875</v>
      </c>
      <c r="E4" s="21">
        <f t="shared" ref="E4:E9" si="0">B4/$B$9</f>
        <v>0.38059701492537312</v>
      </c>
      <c r="F4" s="1">
        <f>C4*B4</f>
        <v>255</v>
      </c>
    </row>
    <row r="5" spans="1:6" ht="15.4" x14ac:dyDescent="0.45">
      <c r="A5" s="22" t="s">
        <v>58</v>
      </c>
      <c r="B5" s="19">
        <v>58</v>
      </c>
      <c r="C5" s="19">
        <v>14</v>
      </c>
      <c r="D5" s="20">
        <v>585311</v>
      </c>
      <c r="E5" s="21">
        <f t="shared" si="0"/>
        <v>0.43283582089552236</v>
      </c>
      <c r="F5" s="1">
        <f>C5*B5</f>
        <v>812</v>
      </c>
    </row>
    <row r="6" spans="1:6" ht="15.4" x14ac:dyDescent="0.45">
      <c r="A6" s="19" t="s">
        <v>59</v>
      </c>
      <c r="B6" s="19">
        <v>18</v>
      </c>
      <c r="C6" s="19">
        <v>23</v>
      </c>
      <c r="D6" s="20">
        <v>287683</v>
      </c>
      <c r="E6" s="21">
        <f t="shared" si="0"/>
        <v>0.13432835820895522</v>
      </c>
      <c r="F6" s="1">
        <f>C6*B6</f>
        <v>414</v>
      </c>
    </row>
    <row r="7" spans="1:6" ht="15.4" x14ac:dyDescent="0.45">
      <c r="A7" s="19" t="s">
        <v>60</v>
      </c>
      <c r="B7" s="19">
        <v>5</v>
      </c>
      <c r="C7" s="19">
        <v>31</v>
      </c>
      <c r="D7" s="20">
        <v>116957</v>
      </c>
      <c r="E7" s="21">
        <f t="shared" si="0"/>
        <v>3.7313432835820892E-2</v>
      </c>
      <c r="F7" s="1">
        <f>C7*B7</f>
        <v>155</v>
      </c>
    </row>
    <row r="8" spans="1:6" ht="15.4" x14ac:dyDescent="0.45">
      <c r="A8" s="19" t="s">
        <v>61</v>
      </c>
      <c r="B8" s="19">
        <v>2</v>
      </c>
      <c r="C8" s="19">
        <v>50</v>
      </c>
      <c r="D8" s="20">
        <v>72035</v>
      </c>
      <c r="E8" s="21">
        <f t="shared" si="0"/>
        <v>1.4925373134328358E-2</v>
      </c>
      <c r="F8" s="1">
        <f>C8*B8</f>
        <v>100</v>
      </c>
    </row>
    <row r="9" spans="1:6" ht="15" x14ac:dyDescent="0.4">
      <c r="A9" s="23" t="s">
        <v>62</v>
      </c>
      <c r="B9" s="23">
        <f>SUM(B4:B8)</f>
        <v>134</v>
      </c>
      <c r="C9" s="23"/>
      <c r="D9" s="24">
        <f>SUM(D4:D8)</f>
        <v>1222861</v>
      </c>
      <c r="E9" s="25">
        <f t="shared" si="0"/>
        <v>1</v>
      </c>
      <c r="F9" s="4">
        <f>SUM(F4:F8)</f>
        <v>1736</v>
      </c>
    </row>
    <row r="11" spans="1:6" ht="15" x14ac:dyDescent="0.4">
      <c r="A11" s="28" t="s">
        <v>117</v>
      </c>
      <c r="E11" s="5">
        <f>F9*279/1000</f>
        <v>484.34399999999999</v>
      </c>
      <c r="F11" s="49" t="s">
        <v>118</v>
      </c>
    </row>
    <row r="14" spans="1:6" x14ac:dyDescent="0.35">
      <c r="A14" s="26" t="s">
        <v>65</v>
      </c>
    </row>
    <row r="16" spans="1:6" ht="15" x14ac:dyDescent="0.4">
      <c r="A16" s="59" t="s">
        <v>66</v>
      </c>
      <c r="B16" s="59"/>
      <c r="C16" s="59"/>
      <c r="D16" s="59"/>
    </row>
    <row r="17" spans="1:6" ht="15" x14ac:dyDescent="0.4">
      <c r="A17" s="29"/>
      <c r="B17" s="60" t="s">
        <v>67</v>
      </c>
      <c r="C17" s="60"/>
      <c r="D17" s="29"/>
    </row>
    <row r="18" spans="1:6" ht="15" x14ac:dyDescent="0.4">
      <c r="A18" s="28" t="s">
        <v>68</v>
      </c>
      <c r="B18" s="23" t="s">
        <v>69</v>
      </c>
      <c r="C18" s="23" t="s">
        <v>70</v>
      </c>
      <c r="D18" s="23" t="s">
        <v>50</v>
      </c>
      <c r="E18" s="23" t="s">
        <v>71</v>
      </c>
      <c r="F18" s="31" t="s">
        <v>72</v>
      </c>
    </row>
    <row r="19" spans="1:6" ht="15.4" x14ac:dyDescent="0.45">
      <c r="A19" s="27" t="s">
        <v>0</v>
      </c>
      <c r="B19" s="19">
        <v>2000</v>
      </c>
      <c r="C19" s="19">
        <v>1000</v>
      </c>
      <c r="D19" s="30">
        <f>B19/C19</f>
        <v>2</v>
      </c>
      <c r="E19" s="1">
        <v>360</v>
      </c>
      <c r="F19" s="13">
        <f>D19*E19</f>
        <v>720</v>
      </c>
    </row>
    <row r="20" spans="1:6" ht="15.4" x14ac:dyDescent="0.45">
      <c r="A20" s="27" t="s">
        <v>4</v>
      </c>
      <c r="B20" s="19">
        <v>10000</v>
      </c>
      <c r="C20" s="19">
        <v>1500</v>
      </c>
      <c r="D20" s="30">
        <f>B20/C20</f>
        <v>6.666666666666667</v>
      </c>
      <c r="E20" s="1">
        <v>770</v>
      </c>
      <c r="F20" s="13">
        <f>D20*E20</f>
        <v>5133.3333333333339</v>
      </c>
    </row>
    <row r="21" spans="1:6" ht="15.4" x14ac:dyDescent="0.45">
      <c r="A21" s="27" t="s">
        <v>5</v>
      </c>
      <c r="B21" s="19">
        <v>5000</v>
      </c>
      <c r="C21" s="19">
        <v>1500</v>
      </c>
      <c r="D21" s="30">
        <f>B21/C21</f>
        <v>3.3333333333333335</v>
      </c>
      <c r="E21" s="1">
        <v>75</v>
      </c>
      <c r="F21" s="13">
        <f>D21*E21</f>
        <v>250</v>
      </c>
    </row>
    <row r="22" spans="1:6" ht="15.4" x14ac:dyDescent="0.45">
      <c r="A22" s="27" t="s">
        <v>6</v>
      </c>
      <c r="B22" s="19">
        <v>2000</v>
      </c>
      <c r="C22" s="19">
        <v>1000</v>
      </c>
      <c r="D22" s="30">
        <f>B22/C22</f>
        <v>2</v>
      </c>
      <c r="E22" s="1">
        <v>50</v>
      </c>
      <c r="F22" s="13">
        <f>D22*E22</f>
        <v>100</v>
      </c>
    </row>
    <row r="23" spans="1:6" ht="15.4" x14ac:dyDescent="0.45">
      <c r="A23" s="27" t="s">
        <v>11</v>
      </c>
      <c r="B23" s="19">
        <v>2000</v>
      </c>
      <c r="C23" s="19">
        <v>1000</v>
      </c>
      <c r="D23" s="30">
        <f>B23/C23</f>
        <v>2</v>
      </c>
      <c r="E23" s="1">
        <v>40</v>
      </c>
      <c r="F23" s="13">
        <f>D23*E23</f>
        <v>80</v>
      </c>
    </row>
    <row r="24" spans="1:6" x14ac:dyDescent="0.35">
      <c r="E24" s="1">
        <f>SUM(E19:E23)</f>
        <v>1295</v>
      </c>
      <c r="F24" s="13">
        <f>SUM(F19:F23)</f>
        <v>6283.3333333333339</v>
      </c>
    </row>
    <row r="26" spans="1:6" ht="15.4" x14ac:dyDescent="0.45">
      <c r="A26" s="27" t="s">
        <v>73</v>
      </c>
      <c r="C26" s="32">
        <f>F24/E24</f>
        <v>4.8519948519948528</v>
      </c>
    </row>
    <row r="28" spans="1:6" ht="13.15" x14ac:dyDescent="0.4">
      <c r="A28" s="26" t="s">
        <v>74</v>
      </c>
      <c r="E28" s="33">
        <f>F9/C26</f>
        <v>357.7909814323607</v>
      </c>
    </row>
    <row r="29" spans="1:6" ht="15" x14ac:dyDescent="0.4">
      <c r="A29" s="28" t="s">
        <v>116</v>
      </c>
      <c r="E29" s="33">
        <f>E28*279/1000</f>
        <v>99.823683819628641</v>
      </c>
    </row>
    <row r="30" spans="1:6" ht="13.15" x14ac:dyDescent="0.4">
      <c r="A30" s="5" t="s">
        <v>115</v>
      </c>
      <c r="E30" s="50">
        <f>(E11-E29)*1000</f>
        <v>384520.31618037139</v>
      </c>
    </row>
    <row r="33" spans="1:12" ht="13.15" x14ac:dyDescent="0.4">
      <c r="A33" s="5" t="s">
        <v>75</v>
      </c>
    </row>
    <row r="36" spans="1:12" ht="15" x14ac:dyDescent="0.4">
      <c r="A36" s="29" t="s">
        <v>76</v>
      </c>
      <c r="B36" s="23" t="s">
        <v>77</v>
      </c>
      <c r="C36" s="23" t="s">
        <v>78</v>
      </c>
      <c r="D36" s="23" t="s">
        <v>79</v>
      </c>
      <c r="E36" s="23" t="s">
        <v>80</v>
      </c>
      <c r="F36" s="23" t="s">
        <v>81</v>
      </c>
      <c r="G36" s="23" t="s">
        <v>82</v>
      </c>
      <c r="H36" s="23" t="s">
        <v>83</v>
      </c>
      <c r="I36" s="23" t="s">
        <v>84</v>
      </c>
      <c r="J36" s="23" t="s">
        <v>85</v>
      </c>
      <c r="L36" s="23" t="s">
        <v>88</v>
      </c>
    </row>
    <row r="37" spans="1:12" ht="46.15" x14ac:dyDescent="0.45">
      <c r="A37" s="34" t="s">
        <v>86</v>
      </c>
      <c r="B37" s="19">
        <v>640</v>
      </c>
      <c r="C37" s="19">
        <v>640</v>
      </c>
      <c r="D37" s="19">
        <v>640</v>
      </c>
      <c r="E37" s="19">
        <v>640</v>
      </c>
      <c r="F37" s="19">
        <v>640</v>
      </c>
      <c r="G37" s="19">
        <v>640</v>
      </c>
      <c r="H37" s="19">
        <v>640</v>
      </c>
      <c r="I37" s="19">
        <v>640</v>
      </c>
      <c r="J37" s="19">
        <v>640</v>
      </c>
      <c r="L37" s="19">
        <v>150</v>
      </c>
    </row>
    <row r="38" spans="1:12" ht="15.4" x14ac:dyDescent="0.45">
      <c r="A38" s="35" t="s">
        <v>87</v>
      </c>
      <c r="B38" s="19">
        <v>378</v>
      </c>
      <c r="C38" s="19">
        <v>378</v>
      </c>
      <c r="D38" s="19">
        <v>397</v>
      </c>
      <c r="E38" s="19">
        <v>417</v>
      </c>
      <c r="F38" s="19">
        <v>438</v>
      </c>
      <c r="G38" s="19">
        <v>459</v>
      </c>
      <c r="H38" s="19">
        <v>482</v>
      </c>
      <c r="I38" s="19">
        <v>507</v>
      </c>
      <c r="J38" s="19">
        <v>532</v>
      </c>
      <c r="L38" s="19">
        <v>21.3</v>
      </c>
    </row>
    <row r="40" spans="1:12" x14ac:dyDescent="0.35">
      <c r="A40" s="26" t="s">
        <v>89</v>
      </c>
    </row>
    <row r="41" spans="1:12" ht="46.15" x14ac:dyDescent="0.45">
      <c r="A41" s="34" t="s">
        <v>86</v>
      </c>
      <c r="B41" s="4">
        <f>B37*$L$37</f>
        <v>96000</v>
      </c>
      <c r="C41" s="4">
        <f t="shared" ref="C41:J41" si="1">C37*$L$37</f>
        <v>96000</v>
      </c>
      <c r="D41" s="4">
        <f t="shared" si="1"/>
        <v>96000</v>
      </c>
      <c r="E41" s="4">
        <f t="shared" si="1"/>
        <v>96000</v>
      </c>
      <c r="F41" s="4">
        <f t="shared" si="1"/>
        <v>96000</v>
      </c>
      <c r="G41" s="4">
        <f t="shared" si="1"/>
        <v>96000</v>
      </c>
      <c r="H41" s="4">
        <f t="shared" si="1"/>
        <v>96000</v>
      </c>
      <c r="I41" s="4">
        <f t="shared" si="1"/>
        <v>96000</v>
      </c>
      <c r="J41" s="4">
        <f t="shared" si="1"/>
        <v>96000</v>
      </c>
    </row>
    <row r="42" spans="1:12" ht="15.4" x14ac:dyDescent="0.45">
      <c r="A42" s="35" t="s">
        <v>87</v>
      </c>
      <c r="B42" s="4">
        <f>B38*$L$38</f>
        <v>8051.4000000000005</v>
      </c>
      <c r="C42" s="4">
        <f t="shared" ref="C42:J42" si="2">C38*$L$38</f>
        <v>8051.4000000000005</v>
      </c>
      <c r="D42" s="4">
        <f t="shared" si="2"/>
        <v>8456.1</v>
      </c>
      <c r="E42" s="4">
        <f t="shared" si="2"/>
        <v>8882.1</v>
      </c>
      <c r="F42" s="4">
        <f t="shared" si="2"/>
        <v>9329.4</v>
      </c>
      <c r="G42" s="4">
        <f t="shared" si="2"/>
        <v>9776.7000000000007</v>
      </c>
      <c r="H42" s="4">
        <f t="shared" si="2"/>
        <v>10266.6</v>
      </c>
      <c r="I42" s="4">
        <f t="shared" si="2"/>
        <v>10799.1</v>
      </c>
      <c r="J42" s="4">
        <f t="shared" si="2"/>
        <v>11331.6</v>
      </c>
    </row>
    <row r="43" spans="1:12" x14ac:dyDescent="0.35">
      <c r="A43" s="26" t="s">
        <v>14</v>
      </c>
      <c r="B43">
        <f>SUM(B41:B42)</f>
        <v>104051.4</v>
      </c>
      <c r="C43">
        <f t="shared" ref="C43:J43" si="3">SUM(C41:C42)</f>
        <v>104051.4</v>
      </c>
      <c r="D43">
        <f t="shared" si="3"/>
        <v>104456.1</v>
      </c>
      <c r="E43">
        <f t="shared" si="3"/>
        <v>104882.1</v>
      </c>
      <c r="F43">
        <f t="shared" si="3"/>
        <v>105329.4</v>
      </c>
      <c r="G43">
        <f t="shared" si="3"/>
        <v>105776.7</v>
      </c>
      <c r="H43">
        <f t="shared" si="3"/>
        <v>106266.6</v>
      </c>
      <c r="I43">
        <f t="shared" si="3"/>
        <v>106799.1</v>
      </c>
      <c r="J43">
        <f t="shared" si="3"/>
        <v>107331.6</v>
      </c>
    </row>
    <row r="45" spans="1:12" ht="13.15" x14ac:dyDescent="0.4">
      <c r="A45" s="5" t="s">
        <v>90</v>
      </c>
    </row>
    <row r="46" spans="1:12" ht="15" x14ac:dyDescent="0.4">
      <c r="B46" s="23" t="s">
        <v>77</v>
      </c>
      <c r="C46" s="23" t="s">
        <v>78</v>
      </c>
      <c r="D46" s="23" t="s">
        <v>79</v>
      </c>
      <c r="E46" s="23" t="s">
        <v>80</v>
      </c>
      <c r="F46" s="23" t="s">
        <v>81</v>
      </c>
      <c r="G46" s="23" t="s">
        <v>82</v>
      </c>
      <c r="H46" s="23" t="s">
        <v>83</v>
      </c>
      <c r="I46" s="23" t="s">
        <v>84</v>
      </c>
      <c r="J46" s="23" t="s">
        <v>85</v>
      </c>
    </row>
    <row r="47" spans="1:12" ht="26.25" x14ac:dyDescent="0.4">
      <c r="A47" s="36" t="s">
        <v>91</v>
      </c>
      <c r="B47" s="37">
        <f>1222861/507968*17976</f>
        <v>43274.673475494521</v>
      </c>
      <c r="C47" s="37">
        <f t="shared" ref="C47:J47" si="4">1222861/507968*17976</f>
        <v>43274.673475494521</v>
      </c>
      <c r="D47" s="37">
        <f t="shared" si="4"/>
        <v>43274.673475494521</v>
      </c>
      <c r="E47" s="37">
        <f t="shared" si="4"/>
        <v>43274.673475494521</v>
      </c>
      <c r="F47" s="37">
        <f t="shared" si="4"/>
        <v>43274.673475494521</v>
      </c>
      <c r="G47" s="37">
        <f t="shared" si="4"/>
        <v>43274.673475494521</v>
      </c>
      <c r="H47" s="37">
        <f t="shared" si="4"/>
        <v>43274.673475494521</v>
      </c>
      <c r="I47" s="37">
        <f t="shared" si="4"/>
        <v>43274.673475494521</v>
      </c>
      <c r="J47" s="37">
        <f t="shared" si="4"/>
        <v>43274.673475494521</v>
      </c>
    </row>
    <row r="48" spans="1:12" ht="15" x14ac:dyDescent="0.4">
      <c r="A48" s="26" t="s">
        <v>92</v>
      </c>
      <c r="B48" s="24">
        <v>920</v>
      </c>
      <c r="C48" s="24">
        <v>570</v>
      </c>
      <c r="D48" s="24">
        <v>592</v>
      </c>
      <c r="E48" s="24">
        <v>614</v>
      </c>
      <c r="F48" s="24">
        <v>638</v>
      </c>
      <c r="G48" s="24">
        <v>663</v>
      </c>
      <c r="H48" s="24">
        <v>689</v>
      </c>
      <c r="I48" s="24">
        <v>716</v>
      </c>
      <c r="J48" s="24">
        <v>745</v>
      </c>
    </row>
    <row r="49" spans="1:12" ht="13.15" x14ac:dyDescent="0.4">
      <c r="A49" s="26" t="s">
        <v>93</v>
      </c>
      <c r="B49" s="33">
        <f>B48/507968*17976121</f>
        <v>32557.230612951997</v>
      </c>
      <c r="C49" s="33">
        <f t="shared" ref="C49:J49" si="5">C48/507968*17976121</f>
        <v>20171.32766237243</v>
      </c>
      <c r="D49" s="33">
        <f t="shared" si="5"/>
        <v>20949.870133551722</v>
      </c>
      <c r="E49" s="33">
        <f t="shared" si="5"/>
        <v>21728.412604731006</v>
      </c>
      <c r="F49" s="33">
        <f t="shared" si="5"/>
        <v>22577.731664199317</v>
      </c>
      <c r="G49" s="33">
        <f t="shared" si="5"/>
        <v>23462.439017812143</v>
      </c>
      <c r="H49" s="33">
        <f t="shared" si="5"/>
        <v>24382.534665569485</v>
      </c>
      <c r="I49" s="33">
        <f t="shared" si="5"/>
        <v>25338.018607471335</v>
      </c>
      <c r="J49" s="33">
        <f t="shared" si="5"/>
        <v>26364.279137662212</v>
      </c>
    </row>
    <row r="50" spans="1:12" ht="13.15" x14ac:dyDescent="0.4">
      <c r="A50" s="26" t="s">
        <v>94</v>
      </c>
      <c r="B50" s="33">
        <f>B49-B47</f>
        <v>-10717.442862542524</v>
      </c>
      <c r="C50" s="33">
        <f t="shared" ref="C50:J50" si="6">C49-C47</f>
        <v>-23103.34581312209</v>
      </c>
      <c r="D50" s="33">
        <f t="shared" si="6"/>
        <v>-22324.803341942799</v>
      </c>
      <c r="E50" s="33">
        <f t="shared" si="6"/>
        <v>-21546.260870763515</v>
      </c>
      <c r="F50" s="33">
        <f t="shared" si="6"/>
        <v>-20696.941811295204</v>
      </c>
      <c r="G50" s="33">
        <f t="shared" si="6"/>
        <v>-19812.234457682378</v>
      </c>
      <c r="H50" s="33">
        <f t="shared" si="6"/>
        <v>-18892.138809925036</v>
      </c>
      <c r="I50" s="33">
        <f t="shared" si="6"/>
        <v>-17936.654868023186</v>
      </c>
      <c r="J50" s="33">
        <f t="shared" si="6"/>
        <v>-16910.394337832309</v>
      </c>
      <c r="K50" s="32"/>
    </row>
    <row r="53" spans="1:12" x14ac:dyDescent="0.35">
      <c r="A53" s="26" t="s">
        <v>95</v>
      </c>
      <c r="B53" s="38"/>
      <c r="C53" s="57" t="s">
        <v>112</v>
      </c>
      <c r="D53" s="58"/>
      <c r="E53" s="38"/>
      <c r="F53" s="38"/>
      <c r="G53" s="38"/>
      <c r="H53" s="38"/>
      <c r="I53" s="38"/>
      <c r="J53" s="38"/>
      <c r="K53" s="38"/>
      <c r="L53" s="38"/>
    </row>
    <row r="54" spans="1:12" ht="13.15" x14ac:dyDescent="0.4">
      <c r="B54" s="61" t="s">
        <v>28</v>
      </c>
      <c r="C54" s="61"/>
      <c r="D54" s="61"/>
      <c r="E54" s="61"/>
      <c r="F54" s="61"/>
      <c r="G54" s="61"/>
      <c r="H54" s="61"/>
      <c r="I54" s="61"/>
      <c r="J54" s="61"/>
      <c r="K54" s="61"/>
      <c r="L54" s="38"/>
    </row>
    <row r="55" spans="1:12" ht="13.15" x14ac:dyDescent="0.4">
      <c r="A55" s="26"/>
      <c r="B55" s="39">
        <v>0</v>
      </c>
      <c r="C55" s="39">
        <v>1</v>
      </c>
      <c r="D55" s="39">
        <v>2</v>
      </c>
      <c r="E55" s="39">
        <v>3</v>
      </c>
      <c r="F55" s="39">
        <v>4</v>
      </c>
      <c r="G55" s="39">
        <v>5</v>
      </c>
      <c r="H55" s="39">
        <v>6</v>
      </c>
      <c r="I55" s="39">
        <v>7</v>
      </c>
      <c r="J55" s="39">
        <v>8</v>
      </c>
      <c r="K55" s="39">
        <v>9</v>
      </c>
      <c r="L55" s="38"/>
    </row>
    <row r="56" spans="1:12" x14ac:dyDescent="0.35">
      <c r="A56" s="26" t="s">
        <v>96</v>
      </c>
      <c r="B56" s="38">
        <f>KPIC!B52</f>
        <v>-605000</v>
      </c>
      <c r="C56" s="38">
        <f>KPIC!C52</f>
        <v>-385000</v>
      </c>
      <c r="D56" s="38">
        <f>KPIC!D52</f>
        <v>180760</v>
      </c>
      <c r="E56" s="38">
        <f>KPIC!E52</f>
        <v>181308</v>
      </c>
      <c r="F56" s="38">
        <f>KPIC!F52</f>
        <v>183526</v>
      </c>
      <c r="G56" s="38">
        <f>KPIC!G52</f>
        <v>185954.2</v>
      </c>
      <c r="H56" s="38">
        <f>KPIC!H52</f>
        <v>188542.78</v>
      </c>
      <c r="I56" s="38">
        <f>KPIC!I52</f>
        <v>191339.70199999999</v>
      </c>
      <c r="J56" s="38">
        <f>KPIC!J52</f>
        <v>194330.5318</v>
      </c>
      <c r="K56" s="38">
        <f>KPIC!K52</f>
        <v>197438.27862</v>
      </c>
      <c r="L56" s="38">
        <f>KPIC!L52</f>
        <v>426162.5379</v>
      </c>
    </row>
    <row r="57" spans="1:12" x14ac:dyDescent="0.35">
      <c r="A57" s="26" t="s">
        <v>98</v>
      </c>
      <c r="B57" s="38"/>
      <c r="C57" s="38"/>
      <c r="D57" s="38">
        <f>$E$30</f>
        <v>384520.31618037139</v>
      </c>
      <c r="E57" s="38">
        <f t="shared" ref="E57:K57" si="7">$E$30</f>
        <v>384520.31618037139</v>
      </c>
      <c r="F57" s="38">
        <f t="shared" si="7"/>
        <v>384520.31618037139</v>
      </c>
      <c r="G57" s="38">
        <f t="shared" si="7"/>
        <v>384520.31618037139</v>
      </c>
      <c r="H57" s="38">
        <f t="shared" si="7"/>
        <v>384520.31618037139</v>
      </c>
      <c r="I57" s="38">
        <f t="shared" si="7"/>
        <v>384520.31618037139</v>
      </c>
      <c r="J57" s="38">
        <f t="shared" si="7"/>
        <v>384520.31618037139</v>
      </c>
      <c r="K57" s="38">
        <f t="shared" si="7"/>
        <v>384520.31618037139</v>
      </c>
      <c r="L57" s="38"/>
    </row>
    <row r="58" spans="1:12" x14ac:dyDescent="0.35">
      <c r="A58" s="26" t="s">
        <v>97</v>
      </c>
      <c r="B58" s="38"/>
      <c r="C58" s="38"/>
      <c r="D58" s="38">
        <f t="shared" ref="D58:K58" si="8">C43</f>
        <v>104051.4</v>
      </c>
      <c r="E58" s="38">
        <f t="shared" si="8"/>
        <v>104456.1</v>
      </c>
      <c r="F58" s="38">
        <f t="shared" si="8"/>
        <v>104882.1</v>
      </c>
      <c r="G58" s="38">
        <f t="shared" si="8"/>
        <v>105329.4</v>
      </c>
      <c r="H58" s="38">
        <f t="shared" si="8"/>
        <v>105776.7</v>
      </c>
      <c r="I58" s="38">
        <f t="shared" si="8"/>
        <v>106266.6</v>
      </c>
      <c r="J58" s="38">
        <f t="shared" si="8"/>
        <v>106799.1</v>
      </c>
      <c r="K58" s="38">
        <f t="shared" si="8"/>
        <v>107331.6</v>
      </c>
      <c r="L58" s="38"/>
    </row>
    <row r="59" spans="1:12" x14ac:dyDescent="0.35">
      <c r="A59" s="26" t="s">
        <v>99</v>
      </c>
      <c r="B59" s="38"/>
      <c r="C59" s="38">
        <f>B50</f>
        <v>-10717.442862542524</v>
      </c>
      <c r="D59" s="38">
        <f t="shared" ref="D59:K59" si="9">C50</f>
        <v>-23103.34581312209</v>
      </c>
      <c r="E59" s="38">
        <f t="shared" si="9"/>
        <v>-22324.803341942799</v>
      </c>
      <c r="F59" s="38">
        <f t="shared" si="9"/>
        <v>-21546.260870763515</v>
      </c>
      <c r="G59" s="38">
        <f t="shared" si="9"/>
        <v>-20696.941811295204</v>
      </c>
      <c r="H59" s="38">
        <f t="shared" si="9"/>
        <v>-19812.234457682378</v>
      </c>
      <c r="I59" s="38">
        <f t="shared" si="9"/>
        <v>-18892.138809925036</v>
      </c>
      <c r="J59" s="38">
        <f t="shared" si="9"/>
        <v>-17936.654868023186</v>
      </c>
      <c r="K59" s="38">
        <f t="shared" si="9"/>
        <v>-16910.394337832309</v>
      </c>
      <c r="L59" s="38"/>
    </row>
    <row r="60" spans="1:12" x14ac:dyDescent="0.35">
      <c r="A60" s="26" t="s">
        <v>100</v>
      </c>
      <c r="B60" s="38">
        <f>SUM(B56:B59)</f>
        <v>-605000</v>
      </c>
      <c r="C60" s="38">
        <f t="shared" ref="C60:L60" si="10">SUM(C56:C59)</f>
        <v>-395717.44286254252</v>
      </c>
      <c r="D60" s="38">
        <f t="shared" si="10"/>
        <v>646228.37036724936</v>
      </c>
      <c r="E60" s="38">
        <f t="shared" si="10"/>
        <v>647959.61283842858</v>
      </c>
      <c r="F60" s="38">
        <f t="shared" si="10"/>
        <v>651382.15530960786</v>
      </c>
      <c r="G60" s="38">
        <f t="shared" si="10"/>
        <v>655106.9743690762</v>
      </c>
      <c r="H60" s="38">
        <f t="shared" si="10"/>
        <v>659027.56172268896</v>
      </c>
      <c r="I60" s="38">
        <f t="shared" si="10"/>
        <v>663234.47937044629</v>
      </c>
      <c r="J60" s="38">
        <f t="shared" si="10"/>
        <v>667713.29311234818</v>
      </c>
      <c r="K60" s="38">
        <f t="shared" si="10"/>
        <v>672379.80046253907</v>
      </c>
      <c r="L60" s="38">
        <f t="shared" si="10"/>
        <v>426162.5379</v>
      </c>
    </row>
    <row r="61" spans="1:12" x14ac:dyDescent="0.35"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</row>
    <row r="62" spans="1:12" x14ac:dyDescent="0.35">
      <c r="A62" s="26" t="s">
        <v>18</v>
      </c>
      <c r="B62" s="41">
        <f>NPV(B65,C60:L60)+B60</f>
        <v>2381124.2099013929</v>
      </c>
    </row>
    <row r="63" spans="1:12" x14ac:dyDescent="0.35">
      <c r="A63" s="26" t="s">
        <v>19</v>
      </c>
      <c r="B63" s="63">
        <f>IRR(B60:L60,0.1)</f>
        <v>0.48634386354591874</v>
      </c>
    </row>
    <row r="65" spans="1:12" x14ac:dyDescent="0.35">
      <c r="A65" s="26" t="s">
        <v>101</v>
      </c>
      <c r="B65">
        <f>KPIC!B54</f>
        <v>0.1</v>
      </c>
    </row>
    <row r="67" spans="1:12" x14ac:dyDescent="0.35">
      <c r="A67" s="26" t="s">
        <v>102</v>
      </c>
      <c r="B67" s="40">
        <f>NPV(B65,B50:J50)</f>
        <v>-109594.70194421432</v>
      </c>
    </row>
    <row r="68" spans="1:12" x14ac:dyDescent="0.35">
      <c r="A68" s="26"/>
      <c r="B68" s="40"/>
    </row>
    <row r="69" spans="1:12" x14ac:dyDescent="0.35">
      <c r="A69" s="26"/>
      <c r="B69" s="40"/>
    </row>
    <row r="70" spans="1:12" x14ac:dyDescent="0.35">
      <c r="A70" s="26" t="s">
        <v>95</v>
      </c>
      <c r="B70" s="38"/>
      <c r="C70" s="57" t="s">
        <v>113</v>
      </c>
      <c r="D70" s="58"/>
    </row>
    <row r="72" spans="1:12" x14ac:dyDescent="0.35">
      <c r="A72" s="26" t="s">
        <v>96</v>
      </c>
      <c r="B72" s="16">
        <f>'REV-KPIC'!B52</f>
        <v>-605000</v>
      </c>
      <c r="C72" s="16">
        <f>'REV-KPIC'!C52</f>
        <v>-385000</v>
      </c>
      <c r="D72" s="16">
        <f>'REV-KPIC'!D52</f>
        <v>108824</v>
      </c>
      <c r="E72" s="16">
        <f>'REV-KPIC'!E52</f>
        <v>114172</v>
      </c>
      <c r="F72" s="16">
        <f>'REV-KPIC'!F52</f>
        <v>122150</v>
      </c>
      <c r="G72" s="16">
        <f>'REV-KPIC'!G52</f>
        <v>130658.2</v>
      </c>
      <c r="H72" s="16">
        <f>'REV-KPIC'!H52</f>
        <v>138334.78</v>
      </c>
      <c r="I72" s="16">
        <f>'REV-KPIC'!I52</f>
        <v>143627.70199999999</v>
      </c>
      <c r="J72" s="16">
        <f>'REV-KPIC'!J52</f>
        <v>149210.5318</v>
      </c>
      <c r="K72" s="16">
        <f>'REV-KPIC'!K52</f>
        <v>155102.27862</v>
      </c>
      <c r="L72" s="16">
        <f>'REV-KPIC'!L52</f>
        <v>426162.5379</v>
      </c>
    </row>
    <row r="73" spans="1:12" x14ac:dyDescent="0.35">
      <c r="A73" s="26" t="s">
        <v>98</v>
      </c>
      <c r="B73" s="38">
        <f>B57</f>
        <v>0</v>
      </c>
      <c r="C73" s="38">
        <f t="shared" ref="C73:K73" si="11">C57</f>
        <v>0</v>
      </c>
      <c r="D73" s="38">
        <f t="shared" si="11"/>
        <v>384520.31618037139</v>
      </c>
      <c r="E73" s="38">
        <f t="shared" si="11"/>
        <v>384520.31618037139</v>
      </c>
      <c r="F73" s="38">
        <f t="shared" si="11"/>
        <v>384520.31618037139</v>
      </c>
      <c r="G73" s="38">
        <f t="shared" si="11"/>
        <v>384520.31618037139</v>
      </c>
      <c r="H73" s="38">
        <f t="shared" si="11"/>
        <v>384520.31618037139</v>
      </c>
      <c r="I73" s="38">
        <f t="shared" si="11"/>
        <v>384520.31618037139</v>
      </c>
      <c r="J73" s="38">
        <f t="shared" si="11"/>
        <v>384520.31618037139</v>
      </c>
      <c r="K73" s="38">
        <f t="shared" si="11"/>
        <v>384520.31618037139</v>
      </c>
      <c r="L73" s="1"/>
    </row>
    <row r="74" spans="1:12" x14ac:dyDescent="0.35">
      <c r="A74" s="26" t="s">
        <v>97</v>
      </c>
      <c r="B74" s="38">
        <f t="shared" ref="B74:K76" si="12">B58</f>
        <v>0</v>
      </c>
      <c r="C74" s="38">
        <f t="shared" si="12"/>
        <v>0</v>
      </c>
      <c r="D74" s="38">
        <f t="shared" si="12"/>
        <v>104051.4</v>
      </c>
      <c r="E74" s="38">
        <f t="shared" si="12"/>
        <v>104456.1</v>
      </c>
      <c r="F74" s="38">
        <f t="shared" si="12"/>
        <v>104882.1</v>
      </c>
      <c r="G74" s="38">
        <f t="shared" si="12"/>
        <v>105329.4</v>
      </c>
      <c r="H74" s="38">
        <f t="shared" si="12"/>
        <v>105776.7</v>
      </c>
      <c r="I74" s="38">
        <f t="shared" si="12"/>
        <v>106266.6</v>
      </c>
      <c r="J74" s="38">
        <f t="shared" si="12"/>
        <v>106799.1</v>
      </c>
      <c r="K74" s="38">
        <f t="shared" si="12"/>
        <v>107331.6</v>
      </c>
      <c r="L74" s="1"/>
    </row>
    <row r="75" spans="1:12" x14ac:dyDescent="0.35">
      <c r="A75" s="26" t="s">
        <v>99</v>
      </c>
      <c r="B75" s="38">
        <f t="shared" si="12"/>
        <v>0</v>
      </c>
      <c r="C75" s="38">
        <f t="shared" si="12"/>
        <v>-10717.442862542524</v>
      </c>
      <c r="D75" s="38">
        <f t="shared" si="12"/>
        <v>-23103.34581312209</v>
      </c>
      <c r="E75" s="38">
        <f t="shared" si="12"/>
        <v>-22324.803341942799</v>
      </c>
      <c r="F75" s="38">
        <f t="shared" si="12"/>
        <v>-21546.260870763515</v>
      </c>
      <c r="G75" s="38">
        <f t="shared" si="12"/>
        <v>-20696.941811295204</v>
      </c>
      <c r="H75" s="38">
        <f t="shared" si="12"/>
        <v>-19812.234457682378</v>
      </c>
      <c r="I75" s="38">
        <f t="shared" si="12"/>
        <v>-18892.138809925036</v>
      </c>
      <c r="J75" s="38">
        <f t="shared" si="12"/>
        <v>-17936.654868023186</v>
      </c>
      <c r="K75" s="38">
        <f t="shared" si="12"/>
        <v>-16910.394337832309</v>
      </c>
      <c r="L75" s="1"/>
    </row>
    <row r="76" spans="1:12" x14ac:dyDescent="0.35">
      <c r="A76" s="26" t="s">
        <v>100</v>
      </c>
      <c r="B76" s="38">
        <f t="shared" si="12"/>
        <v>-605000</v>
      </c>
      <c r="C76" s="38">
        <f t="shared" si="12"/>
        <v>-395717.44286254252</v>
      </c>
      <c r="D76" s="38">
        <f t="shared" si="12"/>
        <v>646228.37036724936</v>
      </c>
      <c r="E76" s="38">
        <f t="shared" si="12"/>
        <v>647959.61283842858</v>
      </c>
      <c r="F76" s="38">
        <f t="shared" si="12"/>
        <v>651382.15530960786</v>
      </c>
      <c r="G76" s="38">
        <f t="shared" si="12"/>
        <v>655106.9743690762</v>
      </c>
      <c r="H76" s="38">
        <f t="shared" si="12"/>
        <v>659027.56172268896</v>
      </c>
      <c r="I76" s="38">
        <f t="shared" si="12"/>
        <v>663234.47937044629</v>
      </c>
      <c r="J76" s="38">
        <f t="shared" si="12"/>
        <v>667713.29311234818</v>
      </c>
      <c r="K76" s="38">
        <f t="shared" si="12"/>
        <v>672379.80046253907</v>
      </c>
      <c r="L76" s="1"/>
    </row>
    <row r="77" spans="1:12" x14ac:dyDescent="0.35">
      <c r="B77" s="1"/>
      <c r="C77" s="1"/>
      <c r="D77" s="1"/>
      <c r="E77" s="1"/>
      <c r="G77" s="1"/>
      <c r="H77" s="1"/>
      <c r="I77" s="1"/>
      <c r="J77" s="1"/>
      <c r="K77" s="1"/>
      <c r="L77" s="1"/>
    </row>
    <row r="78" spans="1:12" x14ac:dyDescent="0.35">
      <c r="A78" s="26" t="s">
        <v>18</v>
      </c>
      <c r="B78" s="44">
        <f>NPV(B81,C76:L76)+B76</f>
        <v>2216820.1032077894</v>
      </c>
      <c r="C78" s="1"/>
      <c r="D78" s="1"/>
      <c r="E78" s="1"/>
      <c r="G78" s="1"/>
      <c r="H78" s="1"/>
      <c r="I78" s="1"/>
      <c r="J78" s="1"/>
      <c r="K78" s="1"/>
      <c r="L78" s="1"/>
    </row>
    <row r="79" spans="1:12" x14ac:dyDescent="0.35">
      <c r="A79" s="26" t="s">
        <v>19</v>
      </c>
      <c r="B79" s="63">
        <f>IRR(B76:L76,0.1)</f>
        <v>0.48229368059890132</v>
      </c>
      <c r="C79" s="1"/>
      <c r="D79" s="1"/>
      <c r="E79" s="1"/>
      <c r="G79" s="1"/>
      <c r="H79" s="1"/>
      <c r="I79" s="1"/>
      <c r="J79" s="1"/>
      <c r="K79" s="1"/>
      <c r="L79" s="1"/>
    </row>
    <row r="81" spans="1:10" x14ac:dyDescent="0.35">
      <c r="A81" s="26" t="s">
        <v>101</v>
      </c>
      <c r="B81">
        <f>B65</f>
        <v>0.1</v>
      </c>
    </row>
    <row r="83" spans="1:10" x14ac:dyDescent="0.35">
      <c r="A83" s="26" t="s">
        <v>102</v>
      </c>
      <c r="B83">
        <v>0</v>
      </c>
    </row>
    <row r="87" spans="1:10" x14ac:dyDescent="0.35">
      <c r="A87" s="26" t="s">
        <v>103</v>
      </c>
      <c r="B87">
        <v>10000</v>
      </c>
    </row>
    <row r="88" spans="1:10" x14ac:dyDescent="0.35">
      <c r="B88" s="26" t="s">
        <v>104</v>
      </c>
    </row>
    <row r="89" spans="1:10" x14ac:dyDescent="0.35">
      <c r="B89" s="26" t="s">
        <v>105</v>
      </c>
      <c r="C89" s="26" t="s">
        <v>47</v>
      </c>
      <c r="D89" s="26" t="s">
        <v>106</v>
      </c>
      <c r="E89" s="45" t="s">
        <v>14</v>
      </c>
    </row>
    <row r="90" spans="1:10" x14ac:dyDescent="0.35">
      <c r="A90" s="26" t="s">
        <v>50</v>
      </c>
      <c r="B90" s="1">
        <v>1</v>
      </c>
      <c r="C90" s="1">
        <v>2</v>
      </c>
      <c r="D90" s="1">
        <v>3</v>
      </c>
    </row>
    <row r="91" spans="1:10" x14ac:dyDescent="0.35">
      <c r="A91" s="26" t="s">
        <v>107</v>
      </c>
      <c r="B91" s="16">
        <f>$B$87*B90/3</f>
        <v>3333.3333333333335</v>
      </c>
      <c r="C91" s="16">
        <f>$B$87*C90/3</f>
        <v>6666.666666666667</v>
      </c>
      <c r="D91" s="16">
        <f>B87</f>
        <v>10000</v>
      </c>
      <c r="E91" s="16">
        <f>SUM(B91:D91)</f>
        <v>20000</v>
      </c>
    </row>
    <row r="93" spans="1:10" ht="25.5" x14ac:dyDescent="0.35">
      <c r="A93" s="42" t="s">
        <v>108</v>
      </c>
      <c r="B93" s="13">
        <f>B91/1200</f>
        <v>2.7777777777777781</v>
      </c>
      <c r="C93" s="13">
        <f>C91/1200</f>
        <v>5.5555555555555562</v>
      </c>
      <c r="D93" s="13">
        <f>D91/1200</f>
        <v>8.3333333333333339</v>
      </c>
    </row>
    <row r="95" spans="1:10" ht="15" x14ac:dyDescent="0.4">
      <c r="B95" s="23" t="s">
        <v>77</v>
      </c>
      <c r="C95" s="23" t="s">
        <v>78</v>
      </c>
      <c r="D95" s="23" t="s">
        <v>79</v>
      </c>
      <c r="E95" s="23" t="s">
        <v>80</v>
      </c>
      <c r="F95" s="23" t="s">
        <v>81</v>
      </c>
      <c r="G95" s="23" t="s">
        <v>82</v>
      </c>
      <c r="H95" s="23" t="s">
        <v>83</v>
      </c>
      <c r="I95" s="23" t="s">
        <v>84</v>
      </c>
      <c r="J95" s="23" t="s">
        <v>85</v>
      </c>
    </row>
    <row r="96" spans="1:10" x14ac:dyDescent="0.35">
      <c r="A96" s="26" t="s">
        <v>109</v>
      </c>
    </row>
    <row r="97" spans="1:10" ht="15" x14ac:dyDescent="0.4">
      <c r="A97" s="26" t="s">
        <v>110</v>
      </c>
      <c r="B97" s="24">
        <v>920</v>
      </c>
      <c r="C97" s="24">
        <v>570</v>
      </c>
      <c r="D97" s="24">
        <v>592</v>
      </c>
      <c r="E97" s="24">
        <v>614</v>
      </c>
      <c r="F97" s="24">
        <v>638</v>
      </c>
      <c r="G97" s="24">
        <v>663</v>
      </c>
      <c r="H97" s="24">
        <v>689</v>
      </c>
      <c r="I97" s="24">
        <v>716</v>
      </c>
      <c r="J97" s="24">
        <v>745</v>
      </c>
    </row>
    <row r="98" spans="1:10" ht="13.15" x14ac:dyDescent="0.4">
      <c r="A98" s="26" t="s">
        <v>69</v>
      </c>
      <c r="B98" s="4">
        <v>0</v>
      </c>
      <c r="C98" s="4">
        <v>1475</v>
      </c>
      <c r="D98" s="4">
        <v>1495</v>
      </c>
      <c r="E98" s="4">
        <v>1530</v>
      </c>
      <c r="F98" s="4">
        <v>1565</v>
      </c>
      <c r="G98" s="4">
        <v>1600</v>
      </c>
      <c r="H98" s="4">
        <v>1635</v>
      </c>
      <c r="I98" s="4">
        <v>1670</v>
      </c>
      <c r="J98" s="4">
        <v>1705</v>
      </c>
    </row>
    <row r="100" spans="1:10" x14ac:dyDescent="0.35">
      <c r="A100" s="26" t="s">
        <v>111</v>
      </c>
    </row>
    <row r="101" spans="1:10" ht="13.15" x14ac:dyDescent="0.4">
      <c r="A101" s="26" t="s">
        <v>105</v>
      </c>
      <c r="B101" s="43">
        <f>B97*$B$93</f>
        <v>2555.5555555555557</v>
      </c>
      <c r="C101" s="43">
        <f t="shared" ref="C101:J101" si="13">C97*$B$93</f>
        <v>1583.3333333333335</v>
      </c>
      <c r="D101" s="43">
        <f t="shared" si="13"/>
        <v>1644.4444444444446</v>
      </c>
      <c r="E101" s="43">
        <f t="shared" si="13"/>
        <v>1705.5555555555557</v>
      </c>
      <c r="F101" s="43">
        <f t="shared" si="13"/>
        <v>1772.2222222222224</v>
      </c>
      <c r="G101" s="43">
        <f t="shared" si="13"/>
        <v>1841.666666666667</v>
      </c>
      <c r="H101" s="43">
        <f t="shared" si="13"/>
        <v>1913.8888888888891</v>
      </c>
      <c r="I101" s="43">
        <f t="shared" si="13"/>
        <v>1988.8888888888891</v>
      </c>
      <c r="J101" s="43">
        <f t="shared" si="13"/>
        <v>2069.4444444444448</v>
      </c>
    </row>
    <row r="102" spans="1:10" ht="13.15" x14ac:dyDescent="0.4">
      <c r="A102" s="26" t="s">
        <v>47</v>
      </c>
      <c r="B102" s="43">
        <f>(B97+B98)*$C$93</f>
        <v>5111.1111111111113</v>
      </c>
      <c r="C102" s="43">
        <f t="shared" ref="C102:J102" si="14">(C97+C98)*$C$93</f>
        <v>11361.111111111113</v>
      </c>
      <c r="D102" s="43">
        <f t="shared" si="14"/>
        <v>11594.444444444445</v>
      </c>
      <c r="E102" s="43">
        <f t="shared" si="14"/>
        <v>11911.111111111113</v>
      </c>
      <c r="F102" s="43">
        <f t="shared" si="14"/>
        <v>12238.888888888891</v>
      </c>
      <c r="G102" s="43">
        <f t="shared" si="14"/>
        <v>12572.222222222224</v>
      </c>
      <c r="H102" s="43">
        <f t="shared" si="14"/>
        <v>12911.111111111113</v>
      </c>
      <c r="I102" s="43">
        <f t="shared" si="14"/>
        <v>13255.555555555557</v>
      </c>
      <c r="J102" s="43">
        <f t="shared" si="14"/>
        <v>13611.111111111113</v>
      </c>
    </row>
    <row r="103" spans="1:10" ht="13.15" x14ac:dyDescent="0.4">
      <c r="A103" s="26" t="s">
        <v>106</v>
      </c>
      <c r="B103" s="43">
        <f>(B97+B98)*$D$93</f>
        <v>7666.666666666667</v>
      </c>
      <c r="C103" s="43">
        <f t="shared" ref="C103:J103" si="15">(C97+C98)*$D$93</f>
        <v>17041.666666666668</v>
      </c>
      <c r="D103" s="43">
        <f t="shared" si="15"/>
        <v>17391.666666666668</v>
      </c>
      <c r="E103" s="43">
        <f t="shared" si="15"/>
        <v>17866.666666666668</v>
      </c>
      <c r="F103" s="43">
        <f t="shared" si="15"/>
        <v>18358.333333333336</v>
      </c>
      <c r="G103" s="43">
        <f t="shared" si="15"/>
        <v>18858.333333333336</v>
      </c>
      <c r="H103" s="43">
        <f t="shared" si="15"/>
        <v>19366.666666666668</v>
      </c>
      <c r="I103" s="43">
        <f t="shared" si="15"/>
        <v>19883.333333333336</v>
      </c>
      <c r="J103" s="43">
        <f t="shared" si="15"/>
        <v>20416.666666666668</v>
      </c>
    </row>
    <row r="104" spans="1:10" ht="13.15" x14ac:dyDescent="0.4">
      <c r="A104" s="5" t="s">
        <v>14</v>
      </c>
      <c r="B104" s="43">
        <f>SUM(B101:B103)</f>
        <v>15333.333333333334</v>
      </c>
      <c r="C104" s="43">
        <f t="shared" ref="C104:J104" si="16">SUM(C101:C103)</f>
        <v>29986.111111111117</v>
      </c>
      <c r="D104" s="43">
        <f t="shared" si="16"/>
        <v>30630.555555555558</v>
      </c>
      <c r="E104" s="43">
        <f t="shared" si="16"/>
        <v>31483.333333333336</v>
      </c>
      <c r="F104" s="43">
        <f t="shared" si="16"/>
        <v>32369.444444444449</v>
      </c>
      <c r="G104" s="43">
        <f t="shared" si="16"/>
        <v>33272.222222222226</v>
      </c>
      <c r="H104" s="43">
        <f t="shared" si="16"/>
        <v>34191.666666666672</v>
      </c>
      <c r="I104" s="43">
        <f t="shared" si="16"/>
        <v>35127.777777777781</v>
      </c>
      <c r="J104" s="43">
        <f t="shared" si="16"/>
        <v>36097.222222222226</v>
      </c>
    </row>
  </sheetData>
  <mergeCells count="5">
    <mergeCell ref="C70:D70"/>
    <mergeCell ref="A16:D16"/>
    <mergeCell ref="B17:C17"/>
    <mergeCell ref="B54:K54"/>
    <mergeCell ref="C53:D53"/>
  </mergeCells>
  <phoneticPr fontId="10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activeCell="M1" sqref="M1"/>
    </sheetView>
  </sheetViews>
  <sheetFormatPr defaultRowHeight="12.75" x14ac:dyDescent="0.35"/>
  <cols>
    <col min="1" max="1" width="11.796875" style="1" customWidth="1"/>
    <col min="2" max="2" width="9.73046875" style="1" bestFit="1" customWidth="1"/>
    <col min="3" max="3" width="9.19921875" style="1" customWidth="1"/>
    <col min="4" max="4" width="12" style="1" customWidth="1"/>
    <col min="5" max="6" width="9.19921875" style="1" customWidth="1"/>
    <col min="7" max="8" width="9.53125" style="16" bestFit="1" customWidth="1"/>
    <col min="10" max="10" width="14" style="13" customWidth="1"/>
  </cols>
  <sheetData>
    <row r="1" spans="1:13" s="9" customFormat="1" ht="30" x14ac:dyDescent="0.4">
      <c r="A1" s="10" t="s">
        <v>29</v>
      </c>
      <c r="B1" s="10" t="s">
        <v>28</v>
      </c>
      <c r="C1" s="10" t="s">
        <v>30</v>
      </c>
      <c r="D1" s="10" t="s">
        <v>31</v>
      </c>
      <c r="E1" s="10" t="s">
        <v>32</v>
      </c>
      <c r="F1" s="10" t="s">
        <v>33</v>
      </c>
      <c r="G1" s="15"/>
      <c r="H1" s="15"/>
      <c r="I1" s="9" t="s">
        <v>37</v>
      </c>
      <c r="J1" s="14" t="s">
        <v>18</v>
      </c>
      <c r="L1" s="9" t="s">
        <v>119</v>
      </c>
      <c r="M1" s="51">
        <v>0.1</v>
      </c>
    </row>
    <row r="2" spans="1:13" ht="15" x14ac:dyDescent="0.4">
      <c r="A2" s="62" t="s">
        <v>34</v>
      </c>
      <c r="B2" s="12">
        <v>1</v>
      </c>
      <c r="C2" s="12">
        <v>50000</v>
      </c>
      <c r="D2" s="12">
        <v>10000</v>
      </c>
      <c r="E2" s="12">
        <v>30000</v>
      </c>
      <c r="F2" s="12">
        <f>E2-D2</f>
        <v>20000</v>
      </c>
      <c r="G2" s="16">
        <f>E2</f>
        <v>30000</v>
      </c>
      <c r="H2" s="16">
        <f>C2+D2</f>
        <v>60000</v>
      </c>
      <c r="K2" s="1">
        <f>F2-C2</f>
        <v>-30000</v>
      </c>
    </row>
    <row r="3" spans="1:13" ht="15" x14ac:dyDescent="0.4">
      <c r="A3" s="62"/>
      <c r="B3" s="12">
        <v>2</v>
      </c>
      <c r="C3" s="12"/>
      <c r="D3" s="12">
        <v>10000</v>
      </c>
      <c r="E3" s="12">
        <v>35000</v>
      </c>
      <c r="F3" s="12">
        <f t="shared" ref="F3:F15" si="0">E3-D3</f>
        <v>25000</v>
      </c>
      <c r="G3" s="16">
        <f>E3/(1+$M$1)</f>
        <v>31818.181818181816</v>
      </c>
      <c r="H3" s="16">
        <f>D3/(1+$M$1)</f>
        <v>9090.9090909090901</v>
      </c>
      <c r="K3" s="1">
        <f>F3-C3</f>
        <v>25000</v>
      </c>
    </row>
    <row r="4" spans="1:13" ht="15" x14ac:dyDescent="0.4">
      <c r="A4" s="62"/>
      <c r="B4" s="12">
        <v>3</v>
      </c>
      <c r="C4" s="12"/>
      <c r="D4" s="12">
        <v>10000</v>
      </c>
      <c r="E4" s="12">
        <v>30000</v>
      </c>
      <c r="F4" s="12">
        <f t="shared" si="0"/>
        <v>20000</v>
      </c>
      <c r="G4" s="16">
        <f>E4/(1+$M$1)^2</f>
        <v>24793.388429752064</v>
      </c>
      <c r="H4" s="16">
        <f>D4/(1+$M$1)^2</f>
        <v>8264.4628099173533</v>
      </c>
      <c r="K4" s="1">
        <f>F4-C4</f>
        <v>20000</v>
      </c>
    </row>
    <row r="5" spans="1:13" ht="15.75" customHeight="1" x14ac:dyDescent="0.4">
      <c r="A5" s="11"/>
      <c r="B5" s="12"/>
      <c r="C5" s="12"/>
      <c r="D5" s="12"/>
      <c r="E5" s="12"/>
      <c r="F5" s="12">
        <f>SUM(F2:F4)</f>
        <v>65000</v>
      </c>
      <c r="G5" s="16">
        <f>SUM(G2:G4)</f>
        <v>86611.57024793388</v>
      </c>
      <c r="H5" s="16">
        <f>SUM(H2:H4)</f>
        <v>77355.371900826445</v>
      </c>
      <c r="I5" s="13">
        <f>G5/H5</f>
        <v>1.1196581196581197</v>
      </c>
      <c r="J5" s="13">
        <f>G5-H5</f>
        <v>9256.1983471074345</v>
      </c>
      <c r="K5" s="2">
        <f>IRR(K2:K4,0.1)</f>
        <v>0.33333333333333326</v>
      </c>
    </row>
    <row r="6" spans="1:13" ht="15" x14ac:dyDescent="0.4">
      <c r="A6" s="62" t="s">
        <v>35</v>
      </c>
      <c r="B6" s="12">
        <v>1</v>
      </c>
      <c r="C6" s="12">
        <v>50000</v>
      </c>
      <c r="D6" s="12">
        <v>10000</v>
      </c>
      <c r="E6" s="12">
        <v>30000</v>
      </c>
      <c r="F6" s="12">
        <f t="shared" si="0"/>
        <v>20000</v>
      </c>
      <c r="G6" s="16">
        <f>E6</f>
        <v>30000</v>
      </c>
      <c r="H6" s="16">
        <f>C6+D6</f>
        <v>60000</v>
      </c>
      <c r="K6" s="1">
        <f>F6-C6</f>
        <v>-30000</v>
      </c>
    </row>
    <row r="7" spans="1:13" ht="15" x14ac:dyDescent="0.4">
      <c r="A7" s="62"/>
      <c r="B7" s="12">
        <v>2</v>
      </c>
      <c r="C7" s="12"/>
      <c r="D7" s="12">
        <v>10000</v>
      </c>
      <c r="E7" s="12">
        <v>35000</v>
      </c>
      <c r="F7" s="12">
        <f t="shared" si="0"/>
        <v>25000</v>
      </c>
      <c r="G7" s="16">
        <f>E7/(1+$M$1)</f>
        <v>31818.181818181816</v>
      </c>
      <c r="H7" s="16">
        <f>D7/(1+$M$1)</f>
        <v>9090.9090909090901</v>
      </c>
      <c r="K7" s="1">
        <f>F7-C7</f>
        <v>25000</v>
      </c>
    </row>
    <row r="8" spans="1:13" ht="15" x14ac:dyDescent="0.4">
      <c r="A8" s="62"/>
      <c r="B8" s="12">
        <v>3</v>
      </c>
      <c r="C8" s="12"/>
      <c r="D8" s="12">
        <v>10000</v>
      </c>
      <c r="E8" s="12">
        <v>30000</v>
      </c>
      <c r="F8" s="12">
        <f t="shared" si="0"/>
        <v>20000</v>
      </c>
      <c r="G8" s="16">
        <f>E8/(1+$M$1)^2</f>
        <v>24793.388429752064</v>
      </c>
      <c r="H8" s="16">
        <f>D8/(1+$M$1)^2</f>
        <v>8264.4628099173533</v>
      </c>
      <c r="K8" s="1">
        <f>F8-C8</f>
        <v>20000</v>
      </c>
    </row>
    <row r="9" spans="1:13" ht="15" x14ac:dyDescent="0.4">
      <c r="A9" s="62"/>
      <c r="B9" s="12">
        <v>4</v>
      </c>
      <c r="C9" s="12"/>
      <c r="D9" s="12">
        <v>10000</v>
      </c>
      <c r="E9" s="12">
        <v>30000</v>
      </c>
      <c r="F9" s="12">
        <f t="shared" si="0"/>
        <v>20000</v>
      </c>
      <c r="G9" s="16">
        <f>E9/(1+$M$1)^3</f>
        <v>22539.444027047324</v>
      </c>
      <c r="H9" s="16">
        <f>D9/(1+$M$1)^3</f>
        <v>7513.1480090157756</v>
      </c>
      <c r="K9" s="1">
        <f>F9-C9</f>
        <v>20000</v>
      </c>
    </row>
    <row r="10" spans="1:13" ht="15.75" customHeight="1" x14ac:dyDescent="0.4">
      <c r="A10" s="11"/>
      <c r="B10" s="12"/>
      <c r="C10" s="12"/>
      <c r="D10" s="12"/>
      <c r="E10" s="12"/>
      <c r="F10" s="12">
        <f>SUM(F6:F9)</f>
        <v>85000</v>
      </c>
      <c r="G10" s="16">
        <f>SUM(G6:G9)</f>
        <v>109151.01427498121</v>
      </c>
      <c r="H10" s="16">
        <f>SUM(H6:H9)</f>
        <v>84868.519909842216</v>
      </c>
      <c r="I10" s="13">
        <f>G10/H10</f>
        <v>1.2861189801699717</v>
      </c>
      <c r="J10" s="13">
        <f>G10-H10</f>
        <v>24282.494365138991</v>
      </c>
      <c r="K10" s="2">
        <f>IRR(K6:K9,0.1)</f>
        <v>0.54446406448586271</v>
      </c>
    </row>
    <row r="11" spans="1:13" ht="15" x14ac:dyDescent="0.4">
      <c r="A11" s="62" t="s">
        <v>36</v>
      </c>
      <c r="B11" s="12">
        <v>1</v>
      </c>
      <c r="C11" s="12">
        <v>50000</v>
      </c>
      <c r="D11" s="12">
        <v>10000</v>
      </c>
      <c r="E11" s="12">
        <v>0</v>
      </c>
      <c r="F11" s="12">
        <f t="shared" si="0"/>
        <v>-10000</v>
      </c>
      <c r="G11" s="16">
        <f>E11</f>
        <v>0</v>
      </c>
      <c r="H11" s="16">
        <f>C11+D11</f>
        <v>60000</v>
      </c>
      <c r="K11" s="1">
        <f>F11-C11</f>
        <v>-60000</v>
      </c>
    </row>
    <row r="12" spans="1:13" ht="15" x14ac:dyDescent="0.4">
      <c r="A12" s="62"/>
      <c r="B12" s="12">
        <v>2</v>
      </c>
      <c r="C12" s="12">
        <v>25000</v>
      </c>
      <c r="D12" s="12">
        <v>10000</v>
      </c>
      <c r="E12" s="12">
        <v>35000</v>
      </c>
      <c r="F12" s="12">
        <f t="shared" si="0"/>
        <v>25000</v>
      </c>
      <c r="G12" s="16">
        <f>E12/(1+$M$1)</f>
        <v>31818.181818181816</v>
      </c>
      <c r="H12" s="16">
        <f>D12/(1+$M$1)</f>
        <v>9090.9090909090901</v>
      </c>
      <c r="K12" s="1">
        <f>F12-C12</f>
        <v>0</v>
      </c>
    </row>
    <row r="13" spans="1:13" ht="15" x14ac:dyDescent="0.4">
      <c r="A13" s="62"/>
      <c r="B13" s="12">
        <v>3</v>
      </c>
      <c r="C13" s="12"/>
      <c r="D13" s="12">
        <v>10000</v>
      </c>
      <c r="E13" s="12">
        <v>40000</v>
      </c>
      <c r="F13" s="12">
        <f t="shared" si="0"/>
        <v>30000</v>
      </c>
      <c r="G13" s="16">
        <f>E13/(1+$M$1)^2</f>
        <v>33057.851239669413</v>
      </c>
      <c r="H13" s="16">
        <f>D13/(1+$M$1)^2</f>
        <v>8264.4628099173533</v>
      </c>
      <c r="K13" s="1">
        <f>F13-C13</f>
        <v>30000</v>
      </c>
    </row>
    <row r="14" spans="1:13" ht="15" x14ac:dyDescent="0.4">
      <c r="A14" s="62"/>
      <c r="B14" s="12">
        <v>4</v>
      </c>
      <c r="C14" s="12"/>
      <c r="D14" s="12">
        <v>10000</v>
      </c>
      <c r="E14" s="12">
        <v>40000</v>
      </c>
      <c r="F14" s="12">
        <f t="shared" si="0"/>
        <v>30000</v>
      </c>
      <c r="G14" s="16">
        <f>E14/(1+$M$1)^3</f>
        <v>30052.592036063103</v>
      </c>
      <c r="H14" s="16">
        <f>D14/(1+$M$1)^3</f>
        <v>7513.1480090157756</v>
      </c>
      <c r="K14" s="1">
        <f>F14-C14</f>
        <v>30000</v>
      </c>
    </row>
    <row r="15" spans="1:13" ht="15" x14ac:dyDescent="0.4">
      <c r="A15" s="62"/>
      <c r="B15" s="12">
        <v>5</v>
      </c>
      <c r="C15" s="12"/>
      <c r="D15" s="12">
        <v>10000</v>
      </c>
      <c r="E15" s="12">
        <v>40000</v>
      </c>
      <c r="F15" s="12">
        <f t="shared" si="0"/>
        <v>30000</v>
      </c>
      <c r="G15" s="16">
        <f>E15/(1+$M$1)^4</f>
        <v>27320.538214602821</v>
      </c>
      <c r="H15" s="16">
        <f>D15/(1+$M$1)^4</f>
        <v>6830.1345536507051</v>
      </c>
      <c r="K15" s="1">
        <f>F15-C15</f>
        <v>30000</v>
      </c>
    </row>
    <row r="16" spans="1:13" ht="13.5" customHeight="1" x14ac:dyDescent="0.35">
      <c r="F16" s="1">
        <f>SUM(F11:F15)</f>
        <v>105000</v>
      </c>
      <c r="G16" s="16">
        <f>SUM(G11:G15)</f>
        <v>122249.16330851716</v>
      </c>
      <c r="H16" s="16">
        <f>SUM(H11:H15)</f>
        <v>91698.654463492916</v>
      </c>
      <c r="I16" s="13">
        <f>G16/H16</f>
        <v>1.3331620188296986</v>
      </c>
      <c r="J16" s="13">
        <f>G16-H16</f>
        <v>30550.508845024247</v>
      </c>
      <c r="K16" s="2">
        <f>IRR(K11:K15,0.1)</f>
        <v>0.14710876512065396</v>
      </c>
    </row>
    <row r="17" spans="9:11" ht="13.5" customHeight="1" x14ac:dyDescent="0.35">
      <c r="I17" s="13"/>
      <c r="K17" s="2"/>
    </row>
    <row r="18" spans="9:11" ht="13.5" customHeight="1" x14ac:dyDescent="0.35">
      <c r="I18" s="13"/>
      <c r="K18" s="2"/>
    </row>
    <row r="19" spans="9:11" ht="13.5" customHeight="1" x14ac:dyDescent="0.35">
      <c r="I19" s="13"/>
      <c r="K19" s="2"/>
    </row>
    <row r="20" spans="9:11" ht="13.5" customHeight="1" x14ac:dyDescent="0.35">
      <c r="I20" s="13"/>
      <c r="K20" s="2"/>
    </row>
    <row r="21" spans="9:11" ht="13.5" customHeight="1" x14ac:dyDescent="0.35">
      <c r="I21" s="13"/>
      <c r="K21" s="2"/>
    </row>
    <row r="22" spans="9:11" ht="13.5" customHeight="1" x14ac:dyDescent="0.35">
      <c r="I22" s="13"/>
      <c r="K22" s="2"/>
    </row>
    <row r="23" spans="9:11" ht="13.5" customHeight="1" x14ac:dyDescent="0.35">
      <c r="I23" s="13"/>
      <c r="K23" s="2"/>
    </row>
    <row r="24" spans="9:11" ht="13.5" customHeight="1" x14ac:dyDescent="0.35">
      <c r="I24" s="13"/>
      <c r="K24" s="2"/>
    </row>
    <row r="25" spans="9:11" ht="13.5" customHeight="1" x14ac:dyDescent="0.35">
      <c r="I25" s="13"/>
      <c r="K25" s="2"/>
    </row>
    <row r="26" spans="9:11" ht="13.5" customHeight="1" x14ac:dyDescent="0.35">
      <c r="I26" s="13"/>
      <c r="K26" s="2"/>
    </row>
    <row r="27" spans="9:11" ht="13.5" customHeight="1" x14ac:dyDescent="0.35">
      <c r="I27" s="13"/>
      <c r="K27" s="2"/>
    </row>
    <row r="28" spans="9:11" ht="13.5" customHeight="1" x14ac:dyDescent="0.35">
      <c r="I28" s="13"/>
      <c r="K28" s="2"/>
    </row>
    <row r="29" spans="9:11" ht="13.5" customHeight="1" x14ac:dyDescent="0.35">
      <c r="I29" s="13"/>
      <c r="K29" s="2"/>
    </row>
    <row r="30" spans="9:11" ht="13.5" customHeight="1" x14ac:dyDescent="0.35">
      <c r="I30" s="13"/>
      <c r="K30" s="2"/>
    </row>
    <row r="31" spans="9:11" ht="13.5" customHeight="1" x14ac:dyDescent="0.35">
      <c r="I31" s="13"/>
      <c r="K31" s="2"/>
    </row>
    <row r="32" spans="9:11" ht="13.5" customHeight="1" x14ac:dyDescent="0.35">
      <c r="I32" s="13"/>
      <c r="K32" s="2"/>
    </row>
    <row r="33" spans="2:11" ht="13.5" customHeight="1" x14ac:dyDescent="0.35">
      <c r="I33" s="13"/>
      <c r="K33" s="2"/>
    </row>
    <row r="34" spans="2:11" ht="13.5" customHeight="1" x14ac:dyDescent="0.35">
      <c r="I34" s="13"/>
      <c r="K34" s="2"/>
    </row>
    <row r="35" spans="2:11" ht="13.5" customHeight="1" x14ac:dyDescent="0.35">
      <c r="I35" s="13"/>
      <c r="K35" s="2"/>
    </row>
    <row r="36" spans="2:11" ht="13.5" customHeight="1" x14ac:dyDescent="0.35">
      <c r="I36" s="13"/>
      <c r="K36" s="2"/>
    </row>
    <row r="37" spans="2:11" ht="13.5" customHeight="1" x14ac:dyDescent="0.35">
      <c r="I37" s="13"/>
      <c r="K37" s="2"/>
    </row>
    <row r="40" spans="2:11" x14ac:dyDescent="0.35">
      <c r="B40" s="7"/>
    </row>
    <row r="45" spans="2:11" x14ac:dyDescent="0.35">
      <c r="C45" s="1" t="s">
        <v>48</v>
      </c>
      <c r="E45" s="1" t="s">
        <v>49</v>
      </c>
      <c r="F45" s="1" t="s">
        <v>50</v>
      </c>
    </row>
    <row r="46" spans="2:11" x14ac:dyDescent="0.35">
      <c r="B46" s="1" t="s">
        <v>45</v>
      </c>
      <c r="C46" s="1">
        <f>1223</f>
        <v>1223</v>
      </c>
      <c r="E46" s="1">
        <f>1705+745</f>
        <v>2450</v>
      </c>
      <c r="F46" s="1">
        <f>E46/C46</f>
        <v>2.0032706459525755</v>
      </c>
    </row>
    <row r="47" spans="2:11" x14ac:dyDescent="0.35">
      <c r="B47" s="1" t="s">
        <v>46</v>
      </c>
      <c r="C47" s="1">
        <f>1045*100/85</f>
        <v>1229.4117647058824</v>
      </c>
    </row>
    <row r="48" spans="2:11" x14ac:dyDescent="0.35">
      <c r="B48" s="1" t="s">
        <v>47</v>
      </c>
      <c r="C48" s="1">
        <f>C47*2</f>
        <v>2458.8235294117649</v>
      </c>
      <c r="F48" s="1">
        <f>C48*F46</f>
        <v>4925.689000048098</v>
      </c>
    </row>
    <row r="49" spans="2:6" x14ac:dyDescent="0.35">
      <c r="B49" s="1" t="s">
        <v>14</v>
      </c>
      <c r="C49" s="1">
        <f>SUM(C47:C48)</f>
        <v>3688.2352941176473</v>
      </c>
      <c r="F49" s="1">
        <f>F48-C49</f>
        <v>1237.4537059304507</v>
      </c>
    </row>
    <row r="50" spans="2:6" x14ac:dyDescent="0.35">
      <c r="B50" s="1" t="s">
        <v>51</v>
      </c>
    </row>
  </sheetData>
  <mergeCells count="3">
    <mergeCell ref="A2:A4"/>
    <mergeCell ref="A6:A9"/>
    <mergeCell ref="A11:A15"/>
  </mergeCells>
  <phoneticPr fontId="0" type="noConversion"/>
  <pageMargins left="0.75" right="0.75" top="1" bottom="1" header="0.5" footer="0.5"/>
  <pageSetup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KPIC</vt:lpstr>
      <vt:lpstr>REV-KPIC</vt:lpstr>
      <vt:lpstr>SBCA</vt:lpstr>
      <vt:lpstr>Hypo-Projects</vt:lpstr>
    </vt:vector>
  </TitlesOfParts>
  <Company>IIMB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T.V.RAMANAYYA</dc:creator>
  <cp:lastModifiedBy>Nagadevara V</cp:lastModifiedBy>
  <dcterms:created xsi:type="dcterms:W3CDTF">2001-06-30T05:50:06Z</dcterms:created>
  <dcterms:modified xsi:type="dcterms:W3CDTF">2024-03-07T09:09:41Z</dcterms:modified>
</cp:coreProperties>
</file>