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ranscend/IIM Amritsar/Financial Accounting 2022-2023/MBA/Preparatory Week/"/>
    </mc:Choice>
  </mc:AlternateContent>
  <xr:revisionPtr revIDLastSave="0" documentId="13_ncr:1_{3829FB57-4A3D-584F-8B50-16AFF8104003}" xr6:coauthVersionLast="36" xr6:coauthVersionMax="36" xr10:uidLastSave="{00000000-0000-0000-0000-000000000000}"/>
  <bookViews>
    <workbookView xWindow="0" yWindow="460" windowWidth="28800" windowHeight="15840" activeTab="2" xr2:uid="{613B5A87-0924-484F-B93A-45D8CF77240B}"/>
  </bookViews>
  <sheets>
    <sheet name="KDC" sheetId="1" r:id="rId1"/>
    <sheet name="Shimla Cafe" sheetId="3" r:id="rId2"/>
    <sheet name="Shimla Café B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4" l="1"/>
  <c r="D17" i="4"/>
  <c r="D15" i="4"/>
  <c r="D11" i="4"/>
  <c r="E6" i="4"/>
  <c r="T6" i="1" l="1"/>
  <c r="T8" i="1"/>
  <c r="T7" i="1"/>
  <c r="T9" i="1"/>
  <c r="F4" i="1" l="1"/>
  <c r="J7" i="1" l="1"/>
  <c r="B12" i="1" l="1"/>
  <c r="B10" i="1"/>
  <c r="B9" i="1"/>
  <c r="B8" i="1"/>
  <c r="B7" i="1"/>
  <c r="B6" i="1"/>
  <c r="J9" i="1" l="1"/>
  <c r="J14" i="1" s="1"/>
  <c r="J6" i="1"/>
  <c r="L7" i="1"/>
  <c r="L8" i="1"/>
  <c r="L10" i="1"/>
  <c r="G23" i="3" l="1"/>
  <c r="G18" i="3"/>
  <c r="G25" i="3" s="1"/>
  <c r="H14" i="3"/>
  <c r="G9" i="3"/>
  <c r="G14" i="3" s="1"/>
  <c r="P14" i="1" l="1"/>
  <c r="Q13" i="1"/>
  <c r="P13" i="1"/>
  <c r="F6" i="1"/>
  <c r="F14" i="1" s="1"/>
  <c r="F15" i="1" s="1"/>
  <c r="F16" i="1" l="1"/>
  <c r="L9" i="1"/>
  <c r="F21" i="1"/>
  <c r="F20" i="1"/>
  <c r="J5" i="1"/>
  <c r="H31" i="1"/>
  <c r="H30" i="1"/>
  <c r="L13" i="1" l="1"/>
  <c r="L14" i="1" s="1"/>
  <c r="B5" i="1"/>
  <c r="B13" i="1" s="1"/>
  <c r="P9" i="1"/>
  <c r="H44" i="1" l="1"/>
  <c r="H49" i="1" s="1"/>
  <c r="M47" i="1"/>
  <c r="M49" i="1" s="1"/>
  <c r="L43" i="1"/>
  <c r="R48" i="1"/>
  <c r="Q48" i="1"/>
  <c r="L42" i="1"/>
  <c r="L49" i="1" l="1"/>
  <c r="Q49" i="1"/>
  <c r="H25" i="3"/>
  <c r="J23" i="3" s="1"/>
  <c r="K23" i="3" s="1"/>
</calcChain>
</file>

<file path=xl/sharedStrings.xml><?xml version="1.0" encoding="utf-8"?>
<sst xmlns="http://schemas.openxmlformats.org/spreadsheetml/2006/main" count="210" uniqueCount="167">
  <si>
    <t>Sales revenue</t>
  </si>
  <si>
    <t>Cost of sales</t>
  </si>
  <si>
    <t>Gross Profit</t>
  </si>
  <si>
    <t>Operating Expenses</t>
  </si>
  <si>
    <t>Resource</t>
  </si>
  <si>
    <t>Source</t>
  </si>
  <si>
    <t>Cash</t>
  </si>
  <si>
    <t>Owner's capital</t>
  </si>
  <si>
    <t>Total</t>
  </si>
  <si>
    <t>Loan</t>
  </si>
  <si>
    <t>Inventory</t>
  </si>
  <si>
    <t>Retained Earnings</t>
  </si>
  <si>
    <t>Assets</t>
  </si>
  <si>
    <t>Asses</t>
  </si>
  <si>
    <t>Current Assets</t>
  </si>
  <si>
    <t>Non-current assets</t>
  </si>
  <si>
    <t>Liabilities</t>
  </si>
  <si>
    <t>Current Liabilities</t>
  </si>
  <si>
    <t>Long term Laibilites</t>
  </si>
  <si>
    <t>We are in Information economics business</t>
  </si>
  <si>
    <t>Inflow</t>
  </si>
  <si>
    <t>Outflow</t>
  </si>
  <si>
    <t>FOR KDC</t>
  </si>
  <si>
    <t>Due to Loan</t>
  </si>
  <si>
    <t>Due to Sales</t>
  </si>
  <si>
    <t>Due to Rent</t>
  </si>
  <si>
    <t>Due to Salary</t>
  </si>
  <si>
    <t>Net Cash balance</t>
  </si>
  <si>
    <t>Financial Analysts</t>
  </si>
  <si>
    <t>Investors</t>
  </si>
  <si>
    <t>Bankss</t>
  </si>
  <si>
    <t>The Govet</t>
  </si>
  <si>
    <t>Auditors</t>
  </si>
  <si>
    <t>BoD</t>
  </si>
  <si>
    <t>Consumers</t>
  </si>
  <si>
    <t>Suplliers</t>
  </si>
  <si>
    <t>Emploees</t>
  </si>
  <si>
    <t>Rating gency</t>
  </si>
  <si>
    <t>Parnering co</t>
  </si>
  <si>
    <t>Competitors</t>
  </si>
  <si>
    <t>Advertis</t>
  </si>
  <si>
    <t>Sales Revenue</t>
  </si>
  <si>
    <t>Performance during the year</t>
  </si>
  <si>
    <t>Operating Expense</t>
  </si>
  <si>
    <t>Salary Expense</t>
  </si>
  <si>
    <t>Rent Expenses</t>
  </si>
  <si>
    <t>COGS</t>
  </si>
  <si>
    <t>Net Incom</t>
  </si>
  <si>
    <t>Capital</t>
  </si>
  <si>
    <t>Resource-source Sheet as on 31/12/2021</t>
  </si>
  <si>
    <t>Income</t>
  </si>
  <si>
    <t>Information Economics</t>
  </si>
  <si>
    <t>Users Name</t>
  </si>
  <si>
    <t>Banks</t>
  </si>
  <si>
    <t>Governemtn</t>
  </si>
  <si>
    <t>Employees</t>
  </si>
  <si>
    <t>Analysts and Resrachers</t>
  </si>
  <si>
    <t>Sharholders/owners</t>
  </si>
  <si>
    <t>Suppliers</t>
  </si>
  <si>
    <t>Manager</t>
  </si>
  <si>
    <t>Insider and Outsiders</t>
  </si>
  <si>
    <t>Cash Flow statement</t>
  </si>
  <si>
    <t xml:space="preserve">Due to Capital </t>
  </si>
  <si>
    <t>Due to Inventory purchase</t>
  </si>
  <si>
    <t>Due to ales</t>
  </si>
  <si>
    <t xml:space="preserve">Due to Salary </t>
  </si>
  <si>
    <t>Net Cash Balance</t>
  </si>
  <si>
    <t>PPE</t>
  </si>
  <si>
    <t>Due to Equipment purchase</t>
  </si>
  <si>
    <t>Cash Flow Statement</t>
  </si>
  <si>
    <t>Accounts receivable</t>
  </si>
  <si>
    <t>Utilities Expenses</t>
  </si>
  <si>
    <t>Due to payments to Supplier</t>
  </si>
  <si>
    <t>Profit Before Tax</t>
  </si>
  <si>
    <t xml:space="preserve">Profit afer tax </t>
  </si>
  <si>
    <t>Tax expense</t>
  </si>
  <si>
    <t>NOPAT</t>
  </si>
  <si>
    <t>Interest Expense</t>
  </si>
  <si>
    <t>Interest Payable</t>
  </si>
  <si>
    <t>Depreciation is a Non-cash Expense, and is important in estimating performance to Avoid Non-cash Expenses</t>
  </si>
  <si>
    <t>A company earns Rs 15000</t>
  </si>
  <si>
    <t>ROA</t>
  </si>
  <si>
    <t>roa</t>
  </si>
  <si>
    <t>Depreciation expenses</t>
  </si>
  <si>
    <t>Cash Basis or Accrual Basis</t>
  </si>
  <si>
    <t>Owners/Shareholders are residual claimaints</t>
  </si>
  <si>
    <t>Shareholders/Owners HAVE LIMITED LIABILITY</t>
  </si>
  <si>
    <t>Accounts Recievable</t>
  </si>
  <si>
    <t>Accounts Payable</t>
  </si>
  <si>
    <t>Balance sheet as on 31/12/2021</t>
  </si>
  <si>
    <t>Liabilities &amp; O/E</t>
  </si>
  <si>
    <t>Utilities Payable</t>
  </si>
  <si>
    <t>Tax Liability</t>
  </si>
  <si>
    <t>Income statement during December, 2021</t>
  </si>
  <si>
    <t>Rent expenses</t>
  </si>
  <si>
    <t>Due to Owner's contribution</t>
  </si>
  <si>
    <t>Due to Loan received</t>
  </si>
  <si>
    <t xml:space="preserve">Total </t>
  </si>
  <si>
    <t>Assets                                     =           Liabilities + Owners Equity &amp; R/E</t>
  </si>
  <si>
    <t>Balance Sheer As of Nov 02</t>
  </si>
  <si>
    <t>Sec B</t>
  </si>
  <si>
    <t>Equipment</t>
  </si>
  <si>
    <t>Licenses</t>
  </si>
  <si>
    <t>Cash Register</t>
  </si>
  <si>
    <t>R/E</t>
  </si>
  <si>
    <t>Balance Sheer As of March 30, 2010</t>
  </si>
  <si>
    <t>Accoumulated Depn</t>
  </si>
  <si>
    <t>Money Measurement</t>
  </si>
  <si>
    <t>Going Concern</t>
  </si>
  <si>
    <t>Separate Entity</t>
  </si>
  <si>
    <t xml:space="preserve">Dual </t>
  </si>
  <si>
    <t>Cost</t>
  </si>
  <si>
    <t>Clothes of Mr Harish</t>
  </si>
  <si>
    <t>When dissolved O/S reduction cause decrease in networth</t>
  </si>
  <si>
    <t>Equipment, inventory</t>
  </si>
  <si>
    <t>rent agreement</t>
  </si>
  <si>
    <t>Every where</t>
  </si>
  <si>
    <t>Salary expenses</t>
  </si>
  <si>
    <t>Indirect Method</t>
  </si>
  <si>
    <t>CFO</t>
  </si>
  <si>
    <t>Net Income</t>
  </si>
  <si>
    <t>Add Deprectiation</t>
  </si>
  <si>
    <t>Deduct Accounts receivable</t>
  </si>
  <si>
    <t>Add interest Payable</t>
  </si>
  <si>
    <t>Add Utilities Payable</t>
  </si>
  <si>
    <t>Add tax payable</t>
  </si>
  <si>
    <t>Add Accounts Payble</t>
  </si>
  <si>
    <t>Deducted InVENTORY</t>
  </si>
  <si>
    <t>A/C receivbale</t>
  </si>
  <si>
    <t>when you cater the party and Accounts receivable was created the journal entry is</t>
  </si>
  <si>
    <t xml:space="preserve">Ac RECEIVABLE </t>
  </si>
  <si>
    <t xml:space="preserve">  sALES</t>
  </si>
  <si>
    <t>i.e. no cash increase, so an increase in ACR should be overstatting the NI</t>
  </si>
  <si>
    <t>HENCE DEDUCT IT</t>
  </si>
  <si>
    <t>sIMILALRY WHEN FRIEND GAVE MONEY</t>
  </si>
  <si>
    <t xml:space="preserve">  Ac receivable</t>
  </si>
  <si>
    <t>any decrease in ACR will cause an increase in cash flow so add it backto I</t>
  </si>
  <si>
    <t>when invnetory goes up</t>
  </si>
  <si>
    <t xml:space="preserve">Inventory </t>
  </si>
  <si>
    <t>Cash/Accounts payable</t>
  </si>
  <si>
    <t>i.e. an increase will show a purchase either on cash or credit but, it is in essence overstating the COGS</t>
  </si>
  <si>
    <t>i.e income is understated, so deduct</t>
  </si>
  <si>
    <t>Mr. Harish Kumar</t>
  </si>
  <si>
    <t>Mrs. Harish</t>
  </si>
  <si>
    <t>Mrs. Indu</t>
  </si>
  <si>
    <t>Shimla Coffee House</t>
  </si>
  <si>
    <t>Financing</t>
  </si>
  <si>
    <t>Cash flow Due to Financing</t>
  </si>
  <si>
    <t>Investing</t>
  </si>
  <si>
    <t>Cash flow Due to investing</t>
  </si>
  <si>
    <t>Operating</t>
  </si>
  <si>
    <t>Cash flow Due to operating</t>
  </si>
  <si>
    <t>Net Cash Flow</t>
  </si>
  <si>
    <t xml:space="preserve">Income Stateement </t>
  </si>
  <si>
    <t xml:space="preserve">Revenue </t>
  </si>
  <si>
    <t>Salary</t>
  </si>
  <si>
    <t>Wages</t>
  </si>
  <si>
    <t>Interest</t>
  </si>
  <si>
    <t>Supplies</t>
  </si>
  <si>
    <t>Telephone</t>
  </si>
  <si>
    <t>Misscelaneous</t>
  </si>
  <si>
    <t>Rent</t>
  </si>
  <si>
    <t>License</t>
  </si>
  <si>
    <t>Depreciation</t>
  </si>
  <si>
    <t>Total Expense</t>
  </si>
  <si>
    <t>The income statement tells Mrs. Antoine that the partnership has suffered a $10,854 loss for the first five months of operation. This $10,854 loss is the correct figure for evaluative purposes, not the $12,296 income before partners’ salaries. This assumes, of course, that nonowner salaries for the cook and table servers would also have been $23,150, which is questionable. It would appear that Lone Pine Cafe cannot support three partners, even at a bare level of sustenance ($23,150 was only an average of $1,543 per partner/employee per month). Of course the three owner/employees did receive room and board, for which no value has been imputed here.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</si>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</sst>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C00000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Goudy Old Style"/>
      <family val="1"/>
    </font>
    <font>
      <sz val="16"/>
      <color theme="1"/>
      <name val="Goudy Old Style"/>
      <family val="1"/>
    </font>
    <font>
      <b/>
      <sz val="16"/>
      <color theme="1"/>
      <name val="Goudy Old Style"/>
      <family val="1"/>
    </font>
    <font>
      <sz val="14"/>
      <color theme="1"/>
      <name val="Goudy Old Style"/>
      <family val="1"/>
    </font>
    <font>
      <sz val="12"/>
      <color theme="1"/>
      <name val="Goudy Old Style"/>
      <family val="1"/>
    </font>
    <font>
      <sz val="16"/>
      <color rgb="FFFF0000"/>
      <name val="Goudy Old Style"/>
      <family val="1"/>
    </font>
    <font>
      <b/>
      <sz val="24"/>
      <color theme="1"/>
      <name val="Goudy Old Style"/>
      <family val="1"/>
    </font>
    <font>
      <sz val="18"/>
      <color rgb="FFFF0000"/>
      <name val="Goudy Old Style"/>
      <family val="1"/>
    </font>
    <font>
      <sz val="20"/>
      <color theme="1"/>
      <name val="Goudy Old Style"/>
      <family val="1"/>
    </font>
    <font>
      <b/>
      <sz val="12"/>
      <color theme="1"/>
      <name val="Goudy Old Style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77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2" borderId="0" xfId="0" applyFont="1" applyFill="1"/>
    <xf numFmtId="3" fontId="1" fillId="2" borderId="0" xfId="0" applyNumberFormat="1" applyFont="1" applyFill="1"/>
    <xf numFmtId="0" fontId="2" fillId="2" borderId="0" xfId="0" applyFont="1" applyFill="1"/>
    <xf numFmtId="3" fontId="2" fillId="2" borderId="0" xfId="0" applyNumberFormat="1" applyFont="1" applyFill="1"/>
    <xf numFmtId="0" fontId="3" fillId="2" borderId="0" xfId="0" applyFont="1" applyFill="1"/>
    <xf numFmtId="3" fontId="3" fillId="2" borderId="0" xfId="0" applyNumberFormat="1" applyFont="1" applyFill="1"/>
    <xf numFmtId="0" fontId="1" fillId="0" borderId="1" xfId="0" applyFont="1" applyBorder="1"/>
    <xf numFmtId="3" fontId="1" fillId="0" borderId="1" xfId="0" applyNumberFormat="1" applyFont="1" applyBorder="1"/>
    <xf numFmtId="0" fontId="2" fillId="2" borderId="1" xfId="0" applyFont="1" applyFill="1" applyBorder="1"/>
    <xf numFmtId="3" fontId="2" fillId="2" borderId="1" xfId="0" applyNumberFormat="1" applyFont="1" applyFill="1" applyBorder="1"/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/>
    <xf numFmtId="0" fontId="3" fillId="2" borderId="2" xfId="0" applyFont="1" applyFill="1" applyBorder="1" applyAlignment="1">
      <alignment wrapText="1"/>
    </xf>
    <xf numFmtId="0" fontId="4" fillId="0" borderId="3" xfId="0" applyFont="1" applyBorder="1" applyAlignment="1">
      <alignment vertical="center" wrapText="1"/>
    </xf>
    <xf numFmtId="0" fontId="0" fillId="0" borderId="2" xfId="0" applyBorder="1"/>
    <xf numFmtId="0" fontId="1" fillId="0" borderId="2" xfId="0" applyFont="1" applyBorder="1"/>
    <xf numFmtId="0" fontId="10" fillId="0" borderId="0" xfId="0" applyFont="1"/>
    <xf numFmtId="0" fontId="12" fillId="0" borderId="1" xfId="0" applyFont="1" applyFill="1" applyBorder="1"/>
    <xf numFmtId="3" fontId="12" fillId="0" borderId="1" xfId="0" applyNumberFormat="1" applyFont="1" applyFill="1" applyBorder="1"/>
    <xf numFmtId="3" fontId="10" fillId="0" borderId="0" xfId="0" applyNumberFormat="1" applyFont="1"/>
    <xf numFmtId="0" fontId="10" fillId="0" borderId="1" xfId="0" applyFont="1" applyFill="1" applyBorder="1"/>
    <xf numFmtId="0" fontId="13" fillId="0" borderId="1" xfId="0" applyFont="1" applyFill="1" applyBorder="1"/>
    <xf numFmtId="3" fontId="10" fillId="0" borderId="1" xfId="0" applyNumberFormat="1" applyFont="1" applyFill="1" applyBorder="1"/>
    <xf numFmtId="0" fontId="9" fillId="0" borderId="1" xfId="0" applyFont="1" applyFill="1" applyBorder="1"/>
    <xf numFmtId="3" fontId="14" fillId="0" borderId="0" xfId="0" applyNumberFormat="1" applyFont="1"/>
    <xf numFmtId="0" fontId="11" fillId="0" borderId="1" xfId="0" applyFont="1" applyFill="1" applyBorder="1"/>
    <xf numFmtId="3" fontId="9" fillId="0" borderId="1" xfId="0" applyNumberFormat="1" applyFont="1" applyFill="1" applyBorder="1"/>
    <xf numFmtId="0" fontId="13" fillId="0" borderId="0" xfId="0" applyFont="1"/>
    <xf numFmtId="0" fontId="10" fillId="0" borderId="4" xfId="0" applyFont="1" applyBorder="1"/>
    <xf numFmtId="0" fontId="10" fillId="0" borderId="1" xfId="0" applyFont="1" applyBorder="1"/>
    <xf numFmtId="0" fontId="10" fillId="0" borderId="8" xfId="0" applyFont="1" applyBorder="1"/>
    <xf numFmtId="0" fontId="10" fillId="0" borderId="9" xfId="0" applyFont="1" applyBorder="1"/>
    <xf numFmtId="0" fontId="10" fillId="0" borderId="10" xfId="0" applyFont="1" applyBorder="1"/>
    <xf numFmtId="0" fontId="10" fillId="0" borderId="11" xfId="0" applyFont="1" applyBorder="1"/>
    <xf numFmtId="0" fontId="10" fillId="0" borderId="12" xfId="0" applyFont="1" applyBorder="1"/>
    <xf numFmtId="0" fontId="11" fillId="2" borderId="1" xfId="0" applyFont="1" applyFill="1" applyBorder="1" applyAlignment="1">
      <alignment horizontal="center" vertical="center"/>
    </xf>
    <xf numFmtId="0" fontId="17" fillId="2" borderId="0" xfId="0" applyFont="1" applyFill="1"/>
    <xf numFmtId="0" fontId="12" fillId="3" borderId="1" xfId="0" applyFont="1" applyFill="1" applyBorder="1"/>
    <xf numFmtId="3" fontId="12" fillId="3" borderId="1" xfId="0" applyNumberFormat="1" applyFont="1" applyFill="1" applyBorder="1"/>
    <xf numFmtId="0" fontId="10" fillId="3" borderId="1" xfId="0" applyFont="1" applyFill="1" applyBorder="1"/>
    <xf numFmtId="3" fontId="11" fillId="0" borderId="1" xfId="0" applyNumberFormat="1" applyFont="1" applyFill="1" applyBorder="1"/>
    <xf numFmtId="0" fontId="18" fillId="0" borderId="1" xfId="0" applyFont="1" applyFill="1" applyBorder="1"/>
    <xf numFmtId="3" fontId="13" fillId="0" borderId="1" xfId="0" applyNumberFormat="1" applyFont="1" applyFill="1" applyBorder="1"/>
    <xf numFmtId="3" fontId="18" fillId="0" borderId="1" xfId="0" applyNumberFormat="1" applyFont="1" applyFill="1" applyBorder="1"/>
    <xf numFmtId="0" fontId="12" fillId="2" borderId="1" xfId="0" applyFont="1" applyFill="1" applyBorder="1"/>
    <xf numFmtId="3" fontId="0" fillId="0" borderId="0" xfId="0" applyNumberFormat="1"/>
    <xf numFmtId="3" fontId="8" fillId="2" borderId="0" xfId="0" applyNumberFormat="1" applyFont="1" applyFill="1"/>
    <xf numFmtId="0" fontId="2" fillId="0" borderId="0" xfId="0" applyFont="1"/>
    <xf numFmtId="0" fontId="8" fillId="0" borderId="0" xfId="0" applyFo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0" fillId="2" borderId="0" xfId="0" applyFill="1"/>
    <xf numFmtId="0" fontId="19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13C1D-2FFD-DD44-873E-76461B497204}">
  <dimension ref="A2:U179"/>
  <sheetViews>
    <sheetView zoomScale="83" workbookViewId="0">
      <selection activeCell="A7" sqref="A7"/>
    </sheetView>
  </sheetViews>
  <sheetFormatPr baseColWidth="10" defaultRowHeight="16" x14ac:dyDescent="0.2"/>
  <cols>
    <col min="1" max="1" width="18.1640625" customWidth="1"/>
    <col min="2" max="2" width="18.6640625" customWidth="1"/>
    <col min="3" max="3" width="12.1640625" customWidth="1"/>
    <col min="4" max="4" width="15.6640625" customWidth="1"/>
    <col min="5" max="5" width="22.1640625" customWidth="1"/>
    <col min="6" max="6" width="17.83203125" customWidth="1"/>
    <col min="7" max="7" width="16.83203125" customWidth="1"/>
    <col min="8" max="8" width="15.6640625" customWidth="1"/>
    <col min="9" max="9" width="22.33203125" bestFit="1" customWidth="1"/>
    <col min="10" max="10" width="12" customWidth="1"/>
    <col min="11" max="11" width="20.83203125" bestFit="1" customWidth="1"/>
    <col min="12" max="12" width="14" customWidth="1"/>
    <col min="13" max="13" width="24.5" bestFit="1" customWidth="1"/>
    <col min="14" max="14" width="21" bestFit="1" customWidth="1"/>
    <col min="15" max="15" width="24.6640625" bestFit="1" customWidth="1"/>
    <col min="16" max="16" width="10" customWidth="1"/>
    <col min="17" max="17" width="11" bestFit="1" customWidth="1"/>
  </cols>
  <sheetData>
    <row r="2" spans="1:20" ht="21" x14ac:dyDescent="0.25">
      <c r="E2" s="53" t="s">
        <v>22</v>
      </c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20" ht="46" customHeight="1" x14ac:dyDescent="0.25">
      <c r="A3" t="s">
        <v>119</v>
      </c>
      <c r="D3" s="1"/>
      <c r="E3" s="59" t="s">
        <v>93</v>
      </c>
      <c r="F3" s="59"/>
      <c r="G3" s="20"/>
      <c r="H3" s="20"/>
      <c r="I3" s="61" t="s">
        <v>89</v>
      </c>
      <c r="J3" s="61"/>
      <c r="K3" s="61"/>
      <c r="L3" s="61"/>
      <c r="M3" s="17"/>
      <c r="N3" s="1"/>
      <c r="O3" s="62" t="s">
        <v>69</v>
      </c>
      <c r="P3" s="62"/>
      <c r="Q3" s="62"/>
      <c r="R3" s="1"/>
      <c r="S3" s="1"/>
    </row>
    <row r="4" spans="1:20" ht="21" customHeight="1" x14ac:dyDescent="0.25">
      <c r="A4" t="s">
        <v>118</v>
      </c>
      <c r="D4" s="1"/>
      <c r="E4" s="21" t="s">
        <v>0</v>
      </c>
      <c r="F4" s="42">
        <f>120000 + 2000</f>
        <v>122000</v>
      </c>
      <c r="G4" s="20"/>
      <c r="H4" s="20"/>
      <c r="I4" s="60" t="s">
        <v>12</v>
      </c>
      <c r="J4" s="60"/>
      <c r="K4" s="60" t="s">
        <v>90</v>
      </c>
      <c r="L4" s="60"/>
      <c r="M4" s="16"/>
      <c r="N4" s="1"/>
      <c r="O4" s="25"/>
      <c r="P4" s="45" t="s">
        <v>20</v>
      </c>
      <c r="Q4" s="45" t="s">
        <v>21</v>
      </c>
      <c r="R4" s="1"/>
      <c r="S4" s="1"/>
    </row>
    <row r="5" spans="1:20" ht="21" x14ac:dyDescent="0.25">
      <c r="A5" t="s">
        <v>120</v>
      </c>
      <c r="B5" s="49">
        <f>F16</f>
        <v>15220</v>
      </c>
      <c r="D5" s="1"/>
      <c r="E5" s="21" t="s">
        <v>1</v>
      </c>
      <c r="F5" s="42">
        <v>-60000</v>
      </c>
      <c r="G5" s="23"/>
      <c r="H5" s="20"/>
      <c r="I5" s="24" t="s">
        <v>6</v>
      </c>
      <c r="J5" s="24">
        <f>100000+50000-72000+120000 -30000 -48000-7500 + 2000</f>
        <v>114500</v>
      </c>
      <c r="K5" s="24"/>
      <c r="L5" s="25"/>
      <c r="M5" s="18"/>
      <c r="N5" s="1"/>
      <c r="O5" s="25" t="s">
        <v>95</v>
      </c>
      <c r="P5" s="46">
        <v>100000</v>
      </c>
      <c r="Q5" s="25"/>
      <c r="R5" s="1" t="s">
        <v>146</v>
      </c>
      <c r="S5" s="1"/>
    </row>
    <row r="6" spans="1:20" ht="21" x14ac:dyDescent="0.25">
      <c r="A6" t="s">
        <v>121</v>
      </c>
      <c r="B6">
        <f>600</f>
        <v>600</v>
      </c>
      <c r="D6" s="1"/>
      <c r="E6" s="21" t="s">
        <v>2</v>
      </c>
      <c r="F6" s="22">
        <f>F4+F5</f>
        <v>62000</v>
      </c>
      <c r="G6" s="23"/>
      <c r="H6" s="20"/>
      <c r="I6" s="24" t="s">
        <v>70</v>
      </c>
      <c r="J6" s="24">
        <f>2000-2000</f>
        <v>0</v>
      </c>
      <c r="K6" s="24" t="s">
        <v>9</v>
      </c>
      <c r="L6" s="26">
        <v>50000</v>
      </c>
      <c r="N6" s="1"/>
      <c r="O6" s="25" t="s">
        <v>96</v>
      </c>
      <c r="P6" s="46">
        <v>50000</v>
      </c>
      <c r="Q6" s="25"/>
      <c r="R6" s="1" t="s">
        <v>146</v>
      </c>
      <c r="S6" s="1" t="s">
        <v>147</v>
      </c>
      <c r="T6" s="49">
        <f>P5+P6</f>
        <v>150000</v>
      </c>
    </row>
    <row r="7" spans="1:20" ht="21" x14ac:dyDescent="0.25">
      <c r="A7" t="s">
        <v>122</v>
      </c>
      <c r="B7">
        <f>0</f>
        <v>0</v>
      </c>
      <c r="D7" s="1"/>
      <c r="E7" s="27" t="s">
        <v>3</v>
      </c>
      <c r="F7" s="21"/>
      <c r="G7" s="20"/>
      <c r="H7" s="20"/>
      <c r="I7" s="24" t="s">
        <v>10</v>
      </c>
      <c r="J7" s="24">
        <f>8000 +57500 -60000</f>
        <v>5500</v>
      </c>
      <c r="K7" s="24" t="s">
        <v>88</v>
      </c>
      <c r="L7" s="24">
        <f>8000+57500 -48000</f>
        <v>17500</v>
      </c>
      <c r="N7" s="1"/>
      <c r="O7" s="25" t="s">
        <v>68</v>
      </c>
      <c r="P7" s="25"/>
      <c r="Q7" s="25">
        <v>72000</v>
      </c>
      <c r="R7" s="1" t="s">
        <v>148</v>
      </c>
      <c r="S7" s="1" t="s">
        <v>149</v>
      </c>
      <c r="T7">
        <f>-72000</f>
        <v>-72000</v>
      </c>
    </row>
    <row r="8" spans="1:20" ht="21" x14ac:dyDescent="0.25">
      <c r="A8" t="s">
        <v>123</v>
      </c>
      <c r="B8">
        <f>375</f>
        <v>375</v>
      </c>
      <c r="D8" s="1"/>
      <c r="E8" s="21" t="s">
        <v>83</v>
      </c>
      <c r="F8" s="48">
        <v>-600</v>
      </c>
      <c r="G8" s="23"/>
      <c r="H8" s="20"/>
      <c r="I8" s="24"/>
      <c r="J8" s="25"/>
      <c r="K8" s="24" t="s">
        <v>91</v>
      </c>
      <c r="L8" s="24">
        <f>-F13</f>
        <v>4500</v>
      </c>
      <c r="N8" s="1"/>
      <c r="O8" s="25" t="s">
        <v>72</v>
      </c>
      <c r="P8" s="25"/>
      <c r="Q8" s="25">
        <v>48000</v>
      </c>
      <c r="R8" s="1" t="s">
        <v>150</v>
      </c>
      <c r="S8" s="51" t="s">
        <v>151</v>
      </c>
      <c r="T8" s="52">
        <f>P9-Q8-Q10-Q11</f>
        <v>66500</v>
      </c>
    </row>
    <row r="9" spans="1:20" ht="21" x14ac:dyDescent="0.25">
      <c r="A9" t="s">
        <v>124</v>
      </c>
      <c r="B9">
        <f>4500</f>
        <v>4500</v>
      </c>
      <c r="D9" s="1"/>
      <c r="E9" s="21" t="s">
        <v>77</v>
      </c>
      <c r="F9" s="48">
        <v>-375</v>
      </c>
      <c r="G9" s="20"/>
      <c r="H9" s="20"/>
      <c r="I9" s="24" t="s">
        <v>67</v>
      </c>
      <c r="J9" s="24">
        <f>72000+F8</f>
        <v>71400</v>
      </c>
      <c r="K9" s="24" t="s">
        <v>92</v>
      </c>
      <c r="L9" s="24">
        <f>-F15</f>
        <v>3805</v>
      </c>
      <c r="N9" s="1"/>
      <c r="O9" s="25" t="s">
        <v>24</v>
      </c>
      <c r="P9" s="25">
        <f>120000 +2000</f>
        <v>122000</v>
      </c>
      <c r="Q9" s="25"/>
      <c r="R9" s="1" t="s">
        <v>150</v>
      </c>
      <c r="S9" s="5" t="s">
        <v>152</v>
      </c>
      <c r="T9" s="50">
        <f>T6+T7+T8</f>
        <v>144500</v>
      </c>
    </row>
    <row r="10" spans="1:20" ht="21" x14ac:dyDescent="0.25">
      <c r="A10" t="s">
        <v>125</v>
      </c>
      <c r="B10">
        <f>3805</f>
        <v>3805</v>
      </c>
      <c r="D10" s="1"/>
      <c r="E10" s="21" t="s">
        <v>117</v>
      </c>
      <c r="F10" s="22">
        <v>-30000</v>
      </c>
      <c r="G10" s="20"/>
      <c r="H10" s="20"/>
      <c r="I10" s="24"/>
      <c r="J10" s="24"/>
      <c r="K10" s="24" t="s">
        <v>78</v>
      </c>
      <c r="L10" s="43">
        <f>-F9</f>
        <v>375</v>
      </c>
      <c r="N10" s="1"/>
      <c r="O10" s="25" t="s">
        <v>25</v>
      </c>
      <c r="P10" s="25"/>
      <c r="Q10" s="25">
        <v>7500</v>
      </c>
      <c r="R10" s="1" t="s">
        <v>150</v>
      </c>
      <c r="S10" s="1"/>
    </row>
    <row r="11" spans="1:20" ht="21" x14ac:dyDescent="0.25">
      <c r="A11" t="s">
        <v>127</v>
      </c>
      <c r="B11">
        <v>-5500</v>
      </c>
      <c r="D11" s="1"/>
      <c r="E11" s="21"/>
      <c r="F11" s="22"/>
      <c r="G11" s="20"/>
      <c r="H11" s="20"/>
      <c r="I11" s="24"/>
      <c r="J11" s="24"/>
      <c r="K11" s="24"/>
      <c r="L11" s="43"/>
      <c r="N11" s="1"/>
      <c r="O11" s="25"/>
      <c r="P11" s="25"/>
      <c r="Q11" s="25"/>
      <c r="R11" s="1" t="s">
        <v>150</v>
      </c>
      <c r="S11" s="1"/>
    </row>
    <row r="12" spans="1:20" ht="21" x14ac:dyDescent="0.25">
      <c r="A12" t="s">
        <v>126</v>
      </c>
      <c r="B12">
        <f>17500</f>
        <v>17500</v>
      </c>
      <c r="D12" s="1"/>
      <c r="E12" s="21" t="s">
        <v>94</v>
      </c>
      <c r="F12" s="22">
        <v>-7500</v>
      </c>
      <c r="G12" s="20"/>
      <c r="H12" s="20"/>
      <c r="I12" s="24"/>
      <c r="J12" s="24"/>
      <c r="K12" s="24" t="s">
        <v>7</v>
      </c>
      <c r="L12" s="24">
        <v>100000</v>
      </c>
      <c r="N12" s="1"/>
      <c r="O12" s="25" t="s">
        <v>26</v>
      </c>
      <c r="P12" s="25"/>
      <c r="Q12" s="25">
        <v>30000</v>
      </c>
      <c r="R12" s="1"/>
      <c r="S12" s="1"/>
    </row>
    <row r="13" spans="1:20" ht="21" x14ac:dyDescent="0.25">
      <c r="A13" s="15" t="s">
        <v>119</v>
      </c>
      <c r="B13" s="50">
        <f>SUM(B5:B12)</f>
        <v>36500</v>
      </c>
      <c r="D13" s="1"/>
      <c r="E13" s="21" t="s">
        <v>71</v>
      </c>
      <c r="F13" s="48">
        <v>-4500</v>
      </c>
      <c r="G13" s="23"/>
      <c r="H13" s="20"/>
      <c r="I13" s="24"/>
      <c r="J13" s="24"/>
      <c r="K13" s="24" t="s">
        <v>11</v>
      </c>
      <c r="L13" s="26">
        <f>F16</f>
        <v>15220</v>
      </c>
      <c r="N13" s="1"/>
      <c r="O13" s="25" t="s">
        <v>97</v>
      </c>
      <c r="P13" s="46">
        <f>SUM(P5:P9)</f>
        <v>272000</v>
      </c>
      <c r="Q13" s="25">
        <f>SUM(Q7:Q12)</f>
        <v>157500</v>
      </c>
      <c r="R13" s="1"/>
      <c r="S13" s="1"/>
    </row>
    <row r="14" spans="1:20" ht="21" x14ac:dyDescent="0.25">
      <c r="D14" s="1"/>
      <c r="E14" s="27" t="s">
        <v>73</v>
      </c>
      <c r="F14" s="22">
        <f>F6+SUM(F8:F13)</f>
        <v>19025</v>
      </c>
      <c r="G14" s="23"/>
      <c r="H14" s="20"/>
      <c r="I14" s="29" t="s">
        <v>8</v>
      </c>
      <c r="J14" s="29">
        <f>SUM(J5:J10)</f>
        <v>191400</v>
      </c>
      <c r="K14" s="29"/>
      <c r="L14" s="44">
        <f>SUM(L6:L13)</f>
        <v>191400</v>
      </c>
      <c r="M14" s="19"/>
      <c r="N14" s="1"/>
      <c r="O14" s="45" t="s">
        <v>27</v>
      </c>
      <c r="P14" s="47">
        <f>P13-Q13</f>
        <v>114500</v>
      </c>
      <c r="Q14" s="25"/>
      <c r="R14" s="1"/>
      <c r="S14" s="1"/>
    </row>
    <row r="15" spans="1:20" ht="21" x14ac:dyDescent="0.25">
      <c r="D15" s="1"/>
      <c r="E15" s="21" t="s">
        <v>75</v>
      </c>
      <c r="F15" s="41">
        <f>-0.2*F14</f>
        <v>-3805</v>
      </c>
      <c r="G15" s="20"/>
      <c r="H15" s="20"/>
      <c r="I15" s="24"/>
      <c r="J15" s="24"/>
      <c r="K15" s="24"/>
      <c r="L15" s="24"/>
      <c r="M15" s="19"/>
      <c r="N15" s="1"/>
      <c r="R15" s="1"/>
      <c r="S15" s="1"/>
    </row>
    <row r="16" spans="1:20" ht="21" x14ac:dyDescent="0.25">
      <c r="D16" s="1"/>
      <c r="E16" s="27" t="s">
        <v>74</v>
      </c>
      <c r="F16" s="30">
        <f>F14+F15</f>
        <v>15220</v>
      </c>
      <c r="G16" s="20"/>
      <c r="H16" s="28"/>
      <c r="M16" s="19"/>
      <c r="N16" s="1"/>
      <c r="R16" s="1"/>
      <c r="S16" s="1"/>
    </row>
    <row r="17" spans="1:19" ht="21" x14ac:dyDescent="0.25">
      <c r="D17" s="1"/>
      <c r="G17" s="20"/>
      <c r="H17" s="20"/>
      <c r="I17" s="20"/>
      <c r="J17" s="20"/>
      <c r="K17" s="20"/>
      <c r="L17" s="20"/>
      <c r="M17" s="1"/>
      <c r="N17" s="1"/>
      <c r="O17" s="1"/>
      <c r="P17" s="1"/>
      <c r="Q17" s="1"/>
      <c r="R17" s="1"/>
      <c r="S17" s="1"/>
    </row>
    <row r="18" spans="1:19" hidden="1" x14ac:dyDescent="0.2">
      <c r="G18" s="31"/>
      <c r="H18" s="31"/>
      <c r="I18" s="31"/>
      <c r="J18" s="31"/>
      <c r="K18" s="31"/>
      <c r="L18" s="31"/>
    </row>
    <row r="19" spans="1:19" ht="21" hidden="1" x14ac:dyDescent="0.25">
      <c r="A19" t="s">
        <v>128</v>
      </c>
      <c r="E19" s="1" t="s">
        <v>76</v>
      </c>
      <c r="G19">
        <v>15220</v>
      </c>
      <c r="H19">
        <v>250000</v>
      </c>
      <c r="J19" s="14" t="s">
        <v>13</v>
      </c>
      <c r="K19" s="14"/>
      <c r="L19" s="14" t="s">
        <v>14</v>
      </c>
      <c r="M19" t="s">
        <v>16</v>
      </c>
      <c r="N19" t="s">
        <v>17</v>
      </c>
    </row>
    <row r="20" spans="1:19" ht="21" hidden="1" x14ac:dyDescent="0.25">
      <c r="A20" t="s">
        <v>129</v>
      </c>
      <c r="E20" s="13" t="s">
        <v>81</v>
      </c>
      <c r="F20">
        <f>15200/250000</f>
        <v>6.08E-2</v>
      </c>
      <c r="G20">
        <v>15220</v>
      </c>
      <c r="H20">
        <v>191400</v>
      </c>
      <c r="J20" s="14"/>
      <c r="K20" s="14"/>
      <c r="L20" s="14" t="s">
        <v>15</v>
      </c>
      <c r="N20" t="s">
        <v>18</v>
      </c>
    </row>
    <row r="21" spans="1:19" hidden="1" x14ac:dyDescent="0.2">
      <c r="A21" t="s">
        <v>130</v>
      </c>
      <c r="B21">
        <v>200</v>
      </c>
      <c r="F21">
        <f>15220/191400</f>
        <v>7.9519331243469174E-2</v>
      </c>
      <c r="G21" s="57" t="s">
        <v>79</v>
      </c>
      <c r="H21" s="57"/>
      <c r="N21" t="s">
        <v>85</v>
      </c>
    </row>
    <row r="22" spans="1:19" hidden="1" x14ac:dyDescent="0.2">
      <c r="A22" t="s">
        <v>131</v>
      </c>
      <c r="C22">
        <v>200</v>
      </c>
      <c r="D22" t="s">
        <v>132</v>
      </c>
      <c r="G22" s="57"/>
      <c r="H22" s="57"/>
      <c r="J22" t="s">
        <v>19</v>
      </c>
      <c r="N22" t="s">
        <v>86</v>
      </c>
    </row>
    <row r="23" spans="1:19" hidden="1" x14ac:dyDescent="0.2">
      <c r="D23" t="s">
        <v>133</v>
      </c>
      <c r="G23" s="57"/>
      <c r="H23" s="57"/>
      <c r="M23" s="15" t="s">
        <v>84</v>
      </c>
    </row>
    <row r="24" spans="1:19" hidden="1" x14ac:dyDescent="0.2">
      <c r="A24" t="s">
        <v>134</v>
      </c>
      <c r="E24" s="58" t="s">
        <v>80</v>
      </c>
      <c r="F24" s="58"/>
      <c r="G24" s="57"/>
      <c r="H24" s="57"/>
      <c r="J24" t="s">
        <v>28</v>
      </c>
    </row>
    <row r="25" spans="1:19" hidden="1" x14ac:dyDescent="0.2">
      <c r="A25" t="s">
        <v>6</v>
      </c>
      <c r="B25">
        <v>200</v>
      </c>
      <c r="E25" s="58"/>
      <c r="F25" s="58"/>
      <c r="G25" s="57"/>
      <c r="H25" s="57"/>
      <c r="J25" t="s">
        <v>29</v>
      </c>
    </row>
    <row r="26" spans="1:19" hidden="1" x14ac:dyDescent="0.2">
      <c r="A26" t="s">
        <v>135</v>
      </c>
      <c r="C26">
        <v>200</v>
      </c>
      <c r="D26" t="s">
        <v>136</v>
      </c>
      <c r="E26" s="58"/>
      <c r="F26" s="58"/>
      <c r="G26" s="57"/>
      <c r="H26" s="57"/>
      <c r="J26" t="s">
        <v>30</v>
      </c>
    </row>
    <row r="27" spans="1:19" hidden="1" x14ac:dyDescent="0.2">
      <c r="E27" s="58"/>
      <c r="F27" s="58"/>
      <c r="J27" t="s">
        <v>31</v>
      </c>
    </row>
    <row r="28" spans="1:19" hidden="1" x14ac:dyDescent="0.2">
      <c r="A28" t="s">
        <v>10</v>
      </c>
      <c r="E28" s="58"/>
      <c r="F28" s="58"/>
      <c r="J28" t="s">
        <v>32</v>
      </c>
    </row>
    <row r="29" spans="1:19" hidden="1" x14ac:dyDescent="0.2">
      <c r="A29" t="s">
        <v>137</v>
      </c>
      <c r="E29" s="58"/>
      <c r="F29" s="58"/>
      <c r="J29" t="s">
        <v>33</v>
      </c>
    </row>
    <row r="30" spans="1:19" hidden="1" x14ac:dyDescent="0.2">
      <c r="A30" t="s">
        <v>138</v>
      </c>
      <c r="C30" t="s">
        <v>140</v>
      </c>
      <c r="E30" s="58"/>
      <c r="F30" s="58"/>
      <c r="G30" t="s">
        <v>81</v>
      </c>
      <c r="H30">
        <f>15000/200000</f>
        <v>7.4999999999999997E-2</v>
      </c>
      <c r="J30" t="s">
        <v>34</v>
      </c>
    </row>
    <row r="31" spans="1:19" hidden="1" x14ac:dyDescent="0.2">
      <c r="A31" t="s">
        <v>139</v>
      </c>
      <c r="C31" t="s">
        <v>141</v>
      </c>
      <c r="E31" s="58" t="s">
        <v>80</v>
      </c>
      <c r="F31" s="58"/>
      <c r="G31" t="s">
        <v>82</v>
      </c>
      <c r="H31">
        <f>15000/100000</f>
        <v>0.15</v>
      </c>
      <c r="J31" t="s">
        <v>35</v>
      </c>
    </row>
    <row r="32" spans="1:19" hidden="1" x14ac:dyDescent="0.2">
      <c r="E32" s="58"/>
      <c r="F32" s="58"/>
      <c r="J32" t="s">
        <v>36</v>
      </c>
    </row>
    <row r="33" spans="3:21" hidden="1" x14ac:dyDescent="0.2">
      <c r="E33" s="58"/>
      <c r="F33" s="58"/>
      <c r="J33" t="s">
        <v>37</v>
      </c>
    </row>
    <row r="34" spans="3:21" hidden="1" x14ac:dyDescent="0.2">
      <c r="E34" s="58"/>
      <c r="F34" s="58"/>
      <c r="J34" t="s">
        <v>38</v>
      </c>
    </row>
    <row r="35" spans="3:21" hidden="1" x14ac:dyDescent="0.2">
      <c r="E35" s="58"/>
      <c r="F35" s="58"/>
      <c r="J35" t="s">
        <v>39</v>
      </c>
    </row>
    <row r="36" spans="3:21" hidden="1" x14ac:dyDescent="0.2">
      <c r="E36" s="58"/>
      <c r="F36" s="58"/>
      <c r="J36" t="s">
        <v>40</v>
      </c>
    </row>
    <row r="37" spans="3:21" hidden="1" x14ac:dyDescent="0.2">
      <c r="E37" s="58"/>
      <c r="F37" s="58"/>
    </row>
    <row r="38" spans="3:21" hidden="1" x14ac:dyDescent="0.2"/>
    <row r="39" spans="3:21" hidden="1" x14ac:dyDescent="0.2">
      <c r="F39" s="56" t="s">
        <v>50</v>
      </c>
      <c r="G39" s="56"/>
      <c r="H39" s="56"/>
    </row>
    <row r="40" spans="3:21" ht="21" hidden="1" x14ac:dyDescent="0.25">
      <c r="C40" s="1"/>
      <c r="D40" s="1"/>
      <c r="E40" s="1"/>
      <c r="F40" s="54" t="s">
        <v>42</v>
      </c>
      <c r="G40" s="54"/>
      <c r="H40" s="54"/>
      <c r="I40" s="1"/>
      <c r="J40" s="9"/>
      <c r="K40" s="9"/>
      <c r="L40" s="55" t="s">
        <v>49</v>
      </c>
      <c r="M40" s="55"/>
      <c r="N40" s="55"/>
      <c r="O40" s="1"/>
      <c r="P40" s="1" t="s">
        <v>61</v>
      </c>
      <c r="Q40" s="1"/>
      <c r="R40" s="1"/>
      <c r="S40" s="1"/>
      <c r="T40" s="1"/>
      <c r="U40" s="1"/>
    </row>
    <row r="41" spans="3:21" ht="21" hidden="1" x14ac:dyDescent="0.25">
      <c r="C41" s="1"/>
      <c r="D41" s="1"/>
      <c r="E41" s="1"/>
      <c r="F41" s="1"/>
      <c r="G41" s="1"/>
      <c r="H41" s="1"/>
      <c r="I41" s="1"/>
      <c r="J41" s="9"/>
      <c r="K41" s="9"/>
      <c r="L41" s="9" t="s">
        <v>4</v>
      </c>
      <c r="M41" s="9" t="s">
        <v>5</v>
      </c>
      <c r="N41" s="9"/>
      <c r="O41" s="1"/>
      <c r="P41" s="1"/>
      <c r="Q41" s="1" t="s">
        <v>20</v>
      </c>
      <c r="R41" s="1" t="s">
        <v>21</v>
      </c>
      <c r="S41" s="1"/>
      <c r="T41" s="1"/>
      <c r="U41" s="1"/>
    </row>
    <row r="42" spans="3:21" ht="21" hidden="1" x14ac:dyDescent="0.25">
      <c r="C42" s="1"/>
      <c r="D42" s="1"/>
      <c r="E42" s="1"/>
      <c r="F42" s="3" t="s">
        <v>41</v>
      </c>
      <c r="G42" s="3"/>
      <c r="H42" s="4">
        <v>50000</v>
      </c>
      <c r="I42" s="1"/>
      <c r="J42" s="11" t="s">
        <v>6</v>
      </c>
      <c r="K42" s="11"/>
      <c r="L42" s="12">
        <f>100000+50000-40000+50000-10000-10000</f>
        <v>140000</v>
      </c>
      <c r="M42" s="10">
        <v>100000</v>
      </c>
      <c r="N42" s="9" t="s">
        <v>48</v>
      </c>
      <c r="O42" s="1"/>
      <c r="P42" s="1" t="s">
        <v>62</v>
      </c>
      <c r="Q42" s="2">
        <v>100000</v>
      </c>
      <c r="R42" s="1"/>
      <c r="S42" s="1"/>
      <c r="T42" s="1"/>
      <c r="U42" s="1"/>
    </row>
    <row r="43" spans="3:21" ht="21" hidden="1" x14ac:dyDescent="0.25">
      <c r="C43" s="1"/>
      <c r="D43" s="1"/>
      <c r="E43" s="1"/>
      <c r="F43" s="1" t="s">
        <v>46</v>
      </c>
      <c r="G43" s="1"/>
      <c r="H43" s="2">
        <v>10000</v>
      </c>
      <c r="I43" s="1"/>
      <c r="J43" s="9" t="s">
        <v>10</v>
      </c>
      <c r="K43" s="9"/>
      <c r="L43" s="10">
        <f>40000-10000</f>
        <v>30000</v>
      </c>
      <c r="M43" s="10">
        <v>50000</v>
      </c>
      <c r="N43" s="9" t="s">
        <v>9</v>
      </c>
      <c r="O43" s="1"/>
      <c r="P43" s="1" t="s">
        <v>23</v>
      </c>
      <c r="Q43" s="2">
        <v>50000</v>
      </c>
      <c r="R43" s="1"/>
      <c r="S43" s="1"/>
      <c r="T43" s="1"/>
      <c r="U43" s="1"/>
    </row>
    <row r="44" spans="3:21" ht="21" hidden="1" x14ac:dyDescent="0.25">
      <c r="C44" s="1"/>
      <c r="D44" s="1"/>
      <c r="E44" s="1"/>
      <c r="F44" s="5" t="s">
        <v>2</v>
      </c>
      <c r="G44" s="5"/>
      <c r="H44" s="6">
        <f>H42-H43</f>
        <v>40000</v>
      </c>
      <c r="I44" s="1"/>
      <c r="J44" s="9"/>
      <c r="K44" s="9"/>
      <c r="L44" s="9"/>
      <c r="M44" s="9"/>
      <c r="N44" s="9"/>
      <c r="O44" s="1"/>
      <c r="P44" s="1" t="s">
        <v>63</v>
      </c>
      <c r="Q44" s="1"/>
      <c r="R44" s="1">
        <v>40000</v>
      </c>
      <c r="S44" s="1"/>
      <c r="T44" s="1"/>
      <c r="U44" s="1"/>
    </row>
    <row r="45" spans="3:21" ht="21" hidden="1" x14ac:dyDescent="0.25">
      <c r="C45" s="1"/>
      <c r="D45" s="1"/>
      <c r="E45" s="1"/>
      <c r="F45" s="1" t="s">
        <v>43</v>
      </c>
      <c r="G45" s="1"/>
      <c r="H45" s="1"/>
      <c r="I45" s="1"/>
      <c r="J45" s="9"/>
      <c r="K45" s="9"/>
      <c r="L45" s="9"/>
      <c r="M45" s="9"/>
      <c r="N45" s="9"/>
      <c r="O45" s="1"/>
      <c r="P45" s="1" t="s">
        <v>64</v>
      </c>
      <c r="Q45" s="2">
        <v>50000</v>
      </c>
      <c r="R45" s="1"/>
      <c r="S45" s="1"/>
      <c r="T45" s="1"/>
      <c r="U45" s="1"/>
    </row>
    <row r="46" spans="3:21" ht="21" hidden="1" x14ac:dyDescent="0.25">
      <c r="C46" s="1"/>
      <c r="D46" s="1"/>
      <c r="E46" s="1"/>
      <c r="F46" s="1" t="s">
        <v>44</v>
      </c>
      <c r="G46" s="2">
        <v>-10000</v>
      </c>
      <c r="H46" s="1"/>
      <c r="I46" s="1"/>
      <c r="J46" s="9"/>
      <c r="K46" s="9"/>
      <c r="L46" s="9"/>
      <c r="M46" s="9"/>
      <c r="N46" s="9"/>
      <c r="O46" s="1"/>
      <c r="P46" s="1" t="s">
        <v>65</v>
      </c>
      <c r="Q46" s="1"/>
      <c r="R46" s="1">
        <v>10000</v>
      </c>
      <c r="S46" s="1"/>
      <c r="T46" s="1"/>
      <c r="U46" s="1"/>
    </row>
    <row r="47" spans="3:21" ht="21" hidden="1" x14ac:dyDescent="0.25">
      <c r="C47" s="1"/>
      <c r="D47" s="1"/>
      <c r="E47" s="1"/>
      <c r="F47" s="1" t="s">
        <v>45</v>
      </c>
      <c r="G47" s="2">
        <v>-10000</v>
      </c>
      <c r="H47" s="1"/>
      <c r="I47" s="1"/>
      <c r="J47" s="9"/>
      <c r="K47" s="9"/>
      <c r="L47" s="9"/>
      <c r="M47" s="9">
        <f>50000-10000-10000-10000</f>
        <v>20000</v>
      </c>
      <c r="N47" s="9" t="s">
        <v>11</v>
      </c>
      <c r="O47" s="1"/>
      <c r="P47" s="1" t="s">
        <v>25</v>
      </c>
      <c r="Q47" s="1"/>
      <c r="R47" s="1">
        <v>10000</v>
      </c>
      <c r="S47" s="1"/>
      <c r="T47" s="1"/>
      <c r="U47" s="1"/>
    </row>
    <row r="48" spans="3:21" ht="21" hidden="1" x14ac:dyDescent="0.25">
      <c r="C48" s="1"/>
      <c r="D48" s="1"/>
      <c r="E48" s="1"/>
      <c r="F48" s="1"/>
      <c r="G48" s="1"/>
      <c r="H48" s="1"/>
      <c r="I48" s="1"/>
      <c r="J48" s="9"/>
      <c r="K48" s="9"/>
      <c r="L48" s="9"/>
      <c r="M48" s="9"/>
      <c r="N48" s="9"/>
      <c r="O48" s="1"/>
      <c r="P48" s="1"/>
      <c r="Q48" s="2">
        <f>Q42+Q43+Q45</f>
        <v>200000</v>
      </c>
      <c r="R48" s="1">
        <f>R44+R46+R47</f>
        <v>60000</v>
      </c>
      <c r="S48" s="1"/>
      <c r="T48" s="1"/>
      <c r="U48" s="1"/>
    </row>
    <row r="49" spans="3:21" ht="21" hidden="1" x14ac:dyDescent="0.25">
      <c r="C49" s="1"/>
      <c r="D49" s="1"/>
      <c r="E49" s="1"/>
      <c r="F49" s="7" t="s">
        <v>47</v>
      </c>
      <c r="G49" s="7"/>
      <c r="H49" s="8">
        <f>H44+G46+G47</f>
        <v>20000</v>
      </c>
      <c r="I49" s="1"/>
      <c r="J49" s="9" t="s">
        <v>8</v>
      </c>
      <c r="K49" s="9"/>
      <c r="L49" s="11">
        <f>SUM(L42:L48)</f>
        <v>170000</v>
      </c>
      <c r="M49" s="11">
        <f>SUM(M42:M48)</f>
        <v>170000</v>
      </c>
      <c r="N49" s="9"/>
      <c r="O49" s="1"/>
      <c r="P49" s="5" t="s">
        <v>66</v>
      </c>
      <c r="Q49" s="6">
        <f>Q48-R48</f>
        <v>140000</v>
      </c>
      <c r="R49" s="1"/>
      <c r="S49" s="1"/>
      <c r="T49" s="1"/>
      <c r="U49" s="1"/>
    </row>
    <row r="50" spans="3:21" ht="21" hidden="1" x14ac:dyDescent="0.25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3:21" ht="21" hidden="1" x14ac:dyDescent="0.25">
      <c r="C51" s="1"/>
      <c r="D51" s="1"/>
      <c r="E51" s="1"/>
      <c r="F51" s="1"/>
      <c r="G51" s="1"/>
      <c r="H51" s="1"/>
      <c r="I51" s="1"/>
      <c r="J51" s="1"/>
      <c r="K51" s="1"/>
      <c r="L51" s="1" t="s">
        <v>51</v>
      </c>
      <c r="M51" s="1"/>
      <c r="N51" s="1"/>
      <c r="O51" s="1"/>
      <c r="P51" s="1"/>
      <c r="Q51" s="1"/>
      <c r="R51" s="1"/>
      <c r="S51" s="1"/>
      <c r="T51" s="1"/>
      <c r="U51" s="1"/>
    </row>
    <row r="52" spans="3:21" ht="21" hidden="1" x14ac:dyDescent="0.25">
      <c r="C52" s="1"/>
      <c r="D52" s="1"/>
      <c r="E52" s="1"/>
      <c r="F52" s="1"/>
      <c r="G52" s="1"/>
      <c r="H52" s="1"/>
      <c r="I52" s="1"/>
      <c r="J52" s="1"/>
      <c r="K52" s="1"/>
      <c r="L52" s="1" t="s">
        <v>52</v>
      </c>
      <c r="M52" s="1"/>
      <c r="N52" s="1"/>
      <c r="O52" s="1"/>
      <c r="P52" s="1"/>
      <c r="Q52" s="1"/>
      <c r="R52" s="1"/>
      <c r="S52" s="1"/>
      <c r="T52" s="1"/>
      <c r="U52" s="1"/>
    </row>
    <row r="53" spans="3:21" ht="21" hidden="1" x14ac:dyDescent="0.25">
      <c r="C53" s="1"/>
      <c r="D53" s="1"/>
      <c r="E53" s="1"/>
      <c r="F53" s="1"/>
      <c r="G53" s="1"/>
      <c r="H53" s="1"/>
      <c r="I53" s="1"/>
      <c r="J53" s="1"/>
      <c r="K53" s="1"/>
      <c r="L53" s="1" t="s">
        <v>57</v>
      </c>
      <c r="M53" s="1" t="s">
        <v>60</v>
      </c>
      <c r="N53" s="1"/>
      <c r="O53" s="1"/>
      <c r="P53" s="1"/>
      <c r="Q53" s="1"/>
      <c r="R53" s="1"/>
      <c r="S53" s="1"/>
      <c r="T53" s="1"/>
      <c r="U53" s="1"/>
    </row>
    <row r="54" spans="3:21" ht="21" hidden="1" x14ac:dyDescent="0.25">
      <c r="C54" s="1"/>
      <c r="D54" s="1"/>
      <c r="E54" s="1"/>
      <c r="F54" s="1"/>
      <c r="G54" s="1"/>
      <c r="H54" s="1"/>
      <c r="I54" s="1"/>
      <c r="J54" s="1"/>
      <c r="K54" s="1"/>
      <c r="L54" s="1" t="s">
        <v>29</v>
      </c>
      <c r="M54" s="1"/>
      <c r="N54" s="1"/>
      <c r="O54" s="1"/>
      <c r="P54" s="1"/>
      <c r="Q54" s="1"/>
      <c r="R54" s="1"/>
      <c r="S54" s="1"/>
      <c r="T54" s="1"/>
      <c r="U54" s="1"/>
    </row>
    <row r="55" spans="3:21" ht="21" hidden="1" x14ac:dyDescent="0.25">
      <c r="C55" s="1"/>
      <c r="D55" s="1"/>
      <c r="E55" s="1"/>
      <c r="F55" s="1"/>
      <c r="G55" s="1"/>
      <c r="H55" s="1"/>
      <c r="I55" s="1"/>
      <c r="J55" s="1"/>
      <c r="K55" s="1"/>
      <c r="L55" s="1" t="s">
        <v>53</v>
      </c>
      <c r="M55" s="1"/>
      <c r="N55" s="1"/>
      <c r="O55" s="1"/>
      <c r="P55" s="1"/>
      <c r="Q55" s="1"/>
      <c r="R55" s="1"/>
      <c r="S55" s="1"/>
      <c r="T55" s="1"/>
      <c r="U55" s="1"/>
    </row>
    <row r="56" spans="3:21" ht="21" hidden="1" x14ac:dyDescent="0.25">
      <c r="C56" s="1"/>
      <c r="D56" s="1"/>
      <c r="E56" s="1"/>
      <c r="F56" s="1"/>
      <c r="G56" s="1"/>
      <c r="H56" s="1"/>
      <c r="I56" s="1"/>
      <c r="J56" s="1"/>
      <c r="K56" s="1"/>
      <c r="L56" s="1" t="s">
        <v>32</v>
      </c>
      <c r="M56" s="1"/>
      <c r="N56" s="1"/>
      <c r="O56" s="1"/>
      <c r="P56" s="1"/>
      <c r="Q56" s="1"/>
      <c r="R56" s="1"/>
      <c r="S56" s="1"/>
      <c r="T56" s="1"/>
      <c r="U56" s="1"/>
    </row>
    <row r="57" spans="3:21" ht="21" hidden="1" x14ac:dyDescent="0.25">
      <c r="C57" s="1"/>
      <c r="D57" s="1"/>
      <c r="E57" s="1"/>
      <c r="F57" s="1"/>
      <c r="G57" s="1"/>
      <c r="H57" s="1"/>
      <c r="I57" s="1"/>
      <c r="J57" s="1"/>
      <c r="K57" s="1"/>
      <c r="L57" s="1" t="s">
        <v>54</v>
      </c>
      <c r="M57" s="1"/>
      <c r="N57" s="1"/>
      <c r="O57" s="1"/>
      <c r="P57" s="1"/>
      <c r="Q57" s="1"/>
      <c r="R57" s="1"/>
      <c r="S57" s="1"/>
      <c r="T57" s="1"/>
      <c r="U57" s="1"/>
    </row>
    <row r="58" spans="3:21" ht="21" hidden="1" x14ac:dyDescent="0.25">
      <c r="C58" s="1"/>
      <c r="D58" s="1"/>
      <c r="E58" s="1"/>
      <c r="F58" s="1"/>
      <c r="G58" s="1"/>
      <c r="H58" s="1"/>
      <c r="I58" s="1"/>
      <c r="J58" s="1"/>
      <c r="K58" s="1"/>
      <c r="L58" s="1" t="s">
        <v>55</v>
      </c>
      <c r="M58" s="1"/>
      <c r="N58" s="1"/>
      <c r="O58" s="1"/>
      <c r="P58" s="1"/>
      <c r="Q58" s="1"/>
      <c r="R58" s="1"/>
      <c r="S58" s="1"/>
      <c r="T58" s="1"/>
      <c r="U58" s="1"/>
    </row>
    <row r="59" spans="3:21" ht="21" hidden="1" x14ac:dyDescent="0.25">
      <c r="C59" s="1"/>
      <c r="D59" s="1"/>
      <c r="E59" s="1"/>
      <c r="F59" s="1"/>
      <c r="G59" s="1"/>
      <c r="H59" s="1"/>
      <c r="I59" s="1"/>
      <c r="J59" s="1"/>
      <c r="K59" s="1"/>
      <c r="L59" s="1" t="s">
        <v>39</v>
      </c>
      <c r="M59" s="1"/>
      <c r="N59" s="1"/>
      <c r="O59" s="1"/>
      <c r="P59" s="1"/>
      <c r="Q59" s="1"/>
      <c r="R59" s="1"/>
      <c r="S59" s="1"/>
      <c r="T59" s="1"/>
      <c r="U59" s="1"/>
    </row>
    <row r="60" spans="3:21" ht="21" hidden="1" x14ac:dyDescent="0.25">
      <c r="C60" s="1"/>
      <c r="D60" s="1"/>
      <c r="E60" s="1"/>
      <c r="F60" s="1"/>
      <c r="G60" s="1"/>
      <c r="H60" s="1"/>
      <c r="I60" s="1"/>
      <c r="J60" s="1"/>
      <c r="K60" s="1"/>
      <c r="L60" s="1" t="s">
        <v>56</v>
      </c>
      <c r="M60" s="1"/>
      <c r="N60" s="1"/>
      <c r="O60" s="1"/>
      <c r="P60" s="1"/>
      <c r="Q60" s="1"/>
      <c r="R60" s="1"/>
      <c r="S60" s="1"/>
      <c r="T60" s="1"/>
      <c r="U60" s="1"/>
    </row>
    <row r="61" spans="3:21" ht="21" hidden="1" x14ac:dyDescent="0.25">
      <c r="C61" s="1"/>
      <c r="D61" s="1"/>
      <c r="E61" s="1"/>
      <c r="F61" s="1"/>
      <c r="G61" s="1"/>
      <c r="H61" s="1"/>
      <c r="I61" s="1"/>
      <c r="J61" s="1"/>
      <c r="K61" s="1"/>
      <c r="L61" s="1" t="s">
        <v>58</v>
      </c>
      <c r="M61" s="1"/>
      <c r="N61" s="1"/>
      <c r="O61" s="1"/>
      <c r="P61" s="1"/>
      <c r="Q61" s="1"/>
      <c r="R61" s="1"/>
      <c r="S61" s="1"/>
      <c r="T61" s="1"/>
      <c r="U61" s="1"/>
    </row>
    <row r="62" spans="3:21" ht="21" hidden="1" x14ac:dyDescent="0.25">
      <c r="L62" s="5" t="s">
        <v>59</v>
      </c>
    </row>
    <row r="63" spans="3:21" ht="21" hidden="1" x14ac:dyDescent="0.25">
      <c r="L63" s="1" t="s">
        <v>33</v>
      </c>
    </row>
    <row r="64" spans="3:21" hidden="1" x14ac:dyDescent="0.2"/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idden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  <row r="85" hidden="1" x14ac:dyDescent="0.2"/>
    <row r="86" hidden="1" x14ac:dyDescent="0.2"/>
    <row r="87" hidden="1" x14ac:dyDescent="0.2"/>
    <row r="88" hidden="1" x14ac:dyDescent="0.2"/>
    <row r="89" hidden="1" x14ac:dyDescent="0.2"/>
    <row r="90" hidden="1" x14ac:dyDescent="0.2"/>
    <row r="91" hidden="1" x14ac:dyDescent="0.2"/>
    <row r="92" hidden="1" x14ac:dyDescent="0.2"/>
    <row r="93" hidden="1" x14ac:dyDescent="0.2"/>
    <row r="94" hidden="1" x14ac:dyDescent="0.2"/>
    <row r="95" hidden="1" x14ac:dyDescent="0.2"/>
    <row r="9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</sheetData>
  <mergeCells count="12">
    <mergeCell ref="E2:P2"/>
    <mergeCell ref="F40:H40"/>
    <mergeCell ref="L40:N40"/>
    <mergeCell ref="F39:H39"/>
    <mergeCell ref="G21:H26"/>
    <mergeCell ref="E24:F30"/>
    <mergeCell ref="E31:F37"/>
    <mergeCell ref="E3:F3"/>
    <mergeCell ref="I4:J4"/>
    <mergeCell ref="K4:L4"/>
    <mergeCell ref="I3:L3"/>
    <mergeCell ref="O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BC5CC-9C77-DC42-B9C0-056CBD3EFA85}">
  <dimension ref="C3:AC25"/>
  <sheetViews>
    <sheetView topLeftCell="A7" zoomScale="99" workbookViewId="0">
      <selection activeCell="G15" sqref="G15"/>
    </sheetView>
  </sheetViews>
  <sheetFormatPr baseColWidth="10" defaultRowHeight="16" x14ac:dyDescent="0.2"/>
  <cols>
    <col min="1" max="2" width="10.83203125" style="31"/>
    <col min="3" max="3" width="30" style="31" bestFit="1" customWidth="1"/>
    <col min="4" max="4" width="10.83203125" style="31" hidden="1" customWidth="1"/>
    <col min="5" max="5" width="22" style="31" bestFit="1" customWidth="1"/>
    <col min="6" max="6" width="15.83203125" style="31" bestFit="1" customWidth="1"/>
    <col min="7" max="7" width="7.83203125" style="31" bestFit="1" customWidth="1"/>
    <col min="8" max="8" width="10.83203125" style="31"/>
    <col min="9" max="9" width="22.5" style="31" bestFit="1" customWidth="1"/>
    <col min="10" max="16384" width="10.83203125" style="31"/>
  </cols>
  <sheetData>
    <row r="3" spans="4:29" x14ac:dyDescent="0.2">
      <c r="F3" s="63" t="s">
        <v>145</v>
      </c>
      <c r="G3" s="63"/>
      <c r="H3" s="63"/>
      <c r="I3" s="63"/>
      <c r="J3" s="63"/>
      <c r="K3" s="63"/>
      <c r="L3" s="63"/>
    </row>
    <row r="4" spans="4:29" x14ac:dyDescent="0.2">
      <c r="F4" s="63"/>
      <c r="G4" s="63"/>
      <c r="H4" s="63"/>
      <c r="I4" s="63"/>
      <c r="J4" s="63"/>
      <c r="K4" s="63"/>
      <c r="L4" s="63"/>
    </row>
    <row r="5" spans="4:29" x14ac:dyDescent="0.2">
      <c r="F5" s="63"/>
      <c r="G5" s="63"/>
      <c r="H5" s="63"/>
      <c r="I5" s="63"/>
      <c r="J5" s="63"/>
      <c r="K5" s="63"/>
      <c r="L5" s="63"/>
    </row>
    <row r="6" spans="4:29" ht="85" customHeight="1" x14ac:dyDescent="0.2">
      <c r="D6" s="68" t="s">
        <v>98</v>
      </c>
      <c r="E6" s="68"/>
      <c r="F6" s="68"/>
      <c r="G6" s="68"/>
      <c r="H6" s="68"/>
      <c r="I6" s="68"/>
      <c r="J6" s="68"/>
      <c r="K6" s="68"/>
      <c r="L6" s="68"/>
      <c r="AB6" s="31" t="s">
        <v>100</v>
      </c>
      <c r="AC6" s="31" t="s">
        <v>100</v>
      </c>
    </row>
    <row r="7" spans="4:29" ht="22" thickBot="1" x14ac:dyDescent="0.3">
      <c r="D7" s="67" t="s">
        <v>99</v>
      </c>
      <c r="E7" s="67"/>
      <c r="F7" s="67"/>
      <c r="G7" s="67"/>
      <c r="H7" s="67"/>
      <c r="I7" s="67"/>
      <c r="J7" s="67"/>
      <c r="K7" s="67"/>
      <c r="L7" s="67"/>
    </row>
    <row r="8" spans="4:29" ht="21" x14ac:dyDescent="0.25">
      <c r="E8" s="20"/>
      <c r="F8" s="64" t="s">
        <v>12</v>
      </c>
      <c r="G8" s="65"/>
      <c r="H8" s="65" t="s">
        <v>90</v>
      </c>
      <c r="I8" s="66"/>
      <c r="J8" s="20"/>
    </row>
    <row r="9" spans="4:29" ht="21" x14ac:dyDescent="0.25">
      <c r="E9" s="20"/>
      <c r="F9" s="34" t="s">
        <v>6</v>
      </c>
      <c r="G9" s="33">
        <f>69000-56000-1428-1400</f>
        <v>10172</v>
      </c>
      <c r="H9" s="33">
        <v>16000</v>
      </c>
      <c r="I9" s="35" t="s">
        <v>142</v>
      </c>
      <c r="J9" s="20"/>
    </row>
    <row r="10" spans="4:29" ht="21" x14ac:dyDescent="0.25">
      <c r="E10" s="20"/>
      <c r="F10" s="34" t="s">
        <v>101</v>
      </c>
      <c r="G10" s="33">
        <v>53200</v>
      </c>
      <c r="H10" s="33">
        <v>16000</v>
      </c>
      <c r="I10" s="35" t="s">
        <v>143</v>
      </c>
      <c r="J10" s="20"/>
    </row>
    <row r="11" spans="4:29" ht="21" x14ac:dyDescent="0.25">
      <c r="E11" s="20"/>
      <c r="F11" s="34" t="s">
        <v>10</v>
      </c>
      <c r="G11" s="33">
        <v>2800</v>
      </c>
      <c r="H11" s="33">
        <v>16000</v>
      </c>
      <c r="I11" s="35" t="s">
        <v>144</v>
      </c>
      <c r="J11" s="20"/>
    </row>
    <row r="12" spans="4:29" ht="21" x14ac:dyDescent="0.25">
      <c r="E12" s="20" t="s">
        <v>43</v>
      </c>
      <c r="F12" s="34" t="s">
        <v>102</v>
      </c>
      <c r="G12" s="33">
        <v>1428</v>
      </c>
      <c r="H12" s="33">
        <v>21000</v>
      </c>
      <c r="I12" s="35" t="s">
        <v>9</v>
      </c>
      <c r="J12" s="20"/>
    </row>
    <row r="13" spans="4:29" ht="21" x14ac:dyDescent="0.25">
      <c r="E13" s="20"/>
      <c r="F13" s="34" t="s">
        <v>103</v>
      </c>
      <c r="G13" s="33">
        <v>1400</v>
      </c>
      <c r="H13" s="33">
        <v>0</v>
      </c>
      <c r="I13" s="35" t="s">
        <v>104</v>
      </c>
      <c r="J13" s="20"/>
    </row>
    <row r="14" spans="4:29" ht="22" thickBot="1" x14ac:dyDescent="0.3">
      <c r="E14" s="20"/>
      <c r="F14" s="36"/>
      <c r="G14" s="37">
        <f>SUM(G9:G13)</f>
        <v>69000</v>
      </c>
      <c r="H14" s="37">
        <f>SUM(H9:H13)</f>
        <v>69000</v>
      </c>
      <c r="I14" s="38"/>
      <c r="J14" s="20"/>
    </row>
    <row r="15" spans="4:29" ht="21" x14ac:dyDescent="0.25">
      <c r="E15" s="20"/>
      <c r="F15" s="20"/>
      <c r="G15" s="32"/>
      <c r="H15" s="20"/>
      <c r="I15" s="20"/>
      <c r="J15" s="20"/>
    </row>
    <row r="16" spans="4:29" ht="22" thickBot="1" x14ac:dyDescent="0.3">
      <c r="D16" s="67" t="s">
        <v>105</v>
      </c>
      <c r="E16" s="67"/>
      <c r="F16" s="67"/>
      <c r="G16" s="67"/>
      <c r="H16" s="67"/>
      <c r="I16" s="67"/>
      <c r="J16" s="67"/>
      <c r="K16" s="67"/>
      <c r="L16" s="67"/>
    </row>
    <row r="17" spans="3:11" ht="21" x14ac:dyDescent="0.25">
      <c r="F17" s="64" t="s">
        <v>12</v>
      </c>
      <c r="G17" s="65"/>
      <c r="H17" s="65" t="s">
        <v>90</v>
      </c>
      <c r="I17" s="66"/>
    </row>
    <row r="18" spans="3:11" ht="21" x14ac:dyDescent="0.25">
      <c r="F18" s="34" t="s">
        <v>6</v>
      </c>
      <c r="G18" s="33">
        <f>1030+311</f>
        <v>1341</v>
      </c>
      <c r="H18" s="39">
        <v>12382</v>
      </c>
      <c r="I18" s="35" t="s">
        <v>142</v>
      </c>
    </row>
    <row r="19" spans="3:11" ht="26" x14ac:dyDescent="0.3">
      <c r="C19" s="40" t="s">
        <v>107</v>
      </c>
      <c r="D19" s="40" t="s">
        <v>115</v>
      </c>
      <c r="F19" s="34" t="s">
        <v>87</v>
      </c>
      <c r="G19" s="33">
        <v>870</v>
      </c>
      <c r="H19" s="39">
        <v>12382</v>
      </c>
      <c r="I19" s="35" t="s">
        <v>143</v>
      </c>
    </row>
    <row r="20" spans="3:11" ht="26" x14ac:dyDescent="0.3">
      <c r="C20" s="40" t="s">
        <v>108</v>
      </c>
      <c r="D20" s="40" t="s">
        <v>113</v>
      </c>
      <c r="F20" s="34" t="s">
        <v>101</v>
      </c>
      <c r="G20" s="33">
        <v>53200</v>
      </c>
      <c r="H20" s="39">
        <v>12382</v>
      </c>
      <c r="I20" s="35" t="s">
        <v>144</v>
      </c>
    </row>
    <row r="21" spans="3:11" ht="26" x14ac:dyDescent="0.3">
      <c r="C21" s="40" t="s">
        <v>109</v>
      </c>
      <c r="D21" s="40" t="s">
        <v>112</v>
      </c>
      <c r="F21" s="34" t="s">
        <v>106</v>
      </c>
      <c r="G21" s="33">
        <v>-2445</v>
      </c>
      <c r="H21" s="33">
        <v>18900</v>
      </c>
      <c r="I21" s="35" t="s">
        <v>9</v>
      </c>
    </row>
    <row r="22" spans="3:11" ht="26" x14ac:dyDescent="0.3">
      <c r="C22" s="40" t="s">
        <v>110</v>
      </c>
      <c r="D22" s="40" t="s">
        <v>116</v>
      </c>
      <c r="F22" s="34" t="s">
        <v>10</v>
      </c>
      <c r="G22" s="33">
        <v>2430</v>
      </c>
      <c r="H22" s="33">
        <v>1583</v>
      </c>
      <c r="I22" s="35" t="s">
        <v>88</v>
      </c>
    </row>
    <row r="23" spans="3:11" ht="26" x14ac:dyDescent="0.3">
      <c r="C23" s="40" t="s">
        <v>111</v>
      </c>
      <c r="D23" s="40" t="s">
        <v>114</v>
      </c>
      <c r="F23" s="34" t="s">
        <v>102</v>
      </c>
      <c r="G23" s="33">
        <f>(7/12)*1428</f>
        <v>833</v>
      </c>
      <c r="H23" s="33"/>
      <c r="I23" s="35"/>
      <c r="J23" s="31">
        <f>G25-H25</f>
        <v>0</v>
      </c>
      <c r="K23" s="31">
        <f>J23/3</f>
        <v>0</v>
      </c>
    </row>
    <row r="24" spans="3:11" ht="21" x14ac:dyDescent="0.25">
      <c r="F24" s="34" t="s">
        <v>103</v>
      </c>
      <c r="G24" s="33">
        <v>1400</v>
      </c>
      <c r="H24" s="33">
        <v>0</v>
      </c>
      <c r="I24" s="35" t="s">
        <v>104</v>
      </c>
    </row>
    <row r="25" spans="3:11" ht="22" thickBot="1" x14ac:dyDescent="0.3">
      <c r="F25" s="36"/>
      <c r="G25" s="37">
        <f>SUM(G18:G24)</f>
        <v>57629</v>
      </c>
      <c r="H25" s="37">
        <f>SUM(H18:H24)</f>
        <v>57629</v>
      </c>
      <c r="I25" s="38"/>
    </row>
  </sheetData>
  <mergeCells count="8">
    <mergeCell ref="F3:L5"/>
    <mergeCell ref="F8:G8"/>
    <mergeCell ref="H8:I8"/>
    <mergeCell ref="D16:L16"/>
    <mergeCell ref="F17:G17"/>
    <mergeCell ref="H17:I17"/>
    <mergeCell ref="D6:L6"/>
    <mergeCell ref="D7:L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51E2C-B0E9-154F-8D1F-66727761C15A}">
  <dimension ref="B4:K29"/>
  <sheetViews>
    <sheetView tabSelected="1" topLeftCell="A13" workbookViewId="0">
      <selection activeCell="B24" sqref="B24"/>
    </sheetView>
  </sheetViews>
  <sheetFormatPr baseColWidth="10" defaultRowHeight="16" x14ac:dyDescent="0.2"/>
  <sheetData>
    <row r="4" spans="3:5" x14ac:dyDescent="0.2">
      <c r="C4" t="s">
        <v>153</v>
      </c>
    </row>
    <row r="6" spans="3:5" x14ac:dyDescent="0.2">
      <c r="C6" t="s">
        <v>154</v>
      </c>
      <c r="E6">
        <f xml:space="preserve"> 43480+870</f>
        <v>44350</v>
      </c>
    </row>
    <row r="8" spans="3:5" x14ac:dyDescent="0.2">
      <c r="C8" t="s">
        <v>155</v>
      </c>
      <c r="D8">
        <v>23150</v>
      </c>
    </row>
    <row r="9" spans="3:5" x14ac:dyDescent="0.2">
      <c r="C9" t="s">
        <v>156</v>
      </c>
      <c r="D9">
        <v>5480</v>
      </c>
    </row>
    <row r="10" spans="3:5" x14ac:dyDescent="0.2">
      <c r="C10" t="s">
        <v>157</v>
      </c>
      <c r="D10">
        <v>540</v>
      </c>
    </row>
    <row r="11" spans="3:5" x14ac:dyDescent="0.2">
      <c r="C11" t="s">
        <v>158</v>
      </c>
      <c r="D11">
        <f xml:space="preserve"> 10016+2800 + 1583 - 2430</f>
        <v>11969</v>
      </c>
    </row>
    <row r="12" spans="3:5" x14ac:dyDescent="0.2">
      <c r="C12" t="s">
        <v>159</v>
      </c>
      <c r="D12">
        <v>3270</v>
      </c>
    </row>
    <row r="13" spans="3:5" x14ac:dyDescent="0.2">
      <c r="C13" t="s">
        <v>160</v>
      </c>
      <c r="D13">
        <v>255</v>
      </c>
    </row>
    <row r="14" spans="3:5" x14ac:dyDescent="0.2">
      <c r="C14" t="s">
        <v>161</v>
      </c>
      <c r="D14">
        <v>7500</v>
      </c>
    </row>
    <row r="15" spans="3:5" x14ac:dyDescent="0.2">
      <c r="C15" t="s">
        <v>162</v>
      </c>
      <c r="D15">
        <f>5/12*1428</f>
        <v>595</v>
      </c>
    </row>
    <row r="16" spans="3:5" x14ac:dyDescent="0.2">
      <c r="C16" t="s">
        <v>163</v>
      </c>
      <c r="D16">
        <v>2445</v>
      </c>
    </row>
    <row r="17" spans="2:11" x14ac:dyDescent="0.2">
      <c r="C17" t="s">
        <v>164</v>
      </c>
      <c r="D17">
        <f>SUM(D8:D16)</f>
        <v>55204</v>
      </c>
    </row>
    <row r="18" spans="2:11" x14ac:dyDescent="0.2">
      <c r="C18" s="69" t="s">
        <v>120</v>
      </c>
      <c r="D18" s="69"/>
      <c r="E18" s="69">
        <f xml:space="preserve"> E6-D17</f>
        <v>-10854</v>
      </c>
    </row>
    <row r="23" spans="2:11" ht="16" customHeight="1" x14ac:dyDescent="0.2">
      <c r="B23" t="s">
        <v>166</v>
      </c>
      <c r="C23" s="70" t="s">
        <v>165</v>
      </c>
      <c r="D23" s="70"/>
      <c r="E23" s="70"/>
      <c r="F23" s="70"/>
      <c r="G23" s="70"/>
      <c r="H23" s="70"/>
      <c r="I23" s="70"/>
      <c r="J23" s="70"/>
      <c r="K23" s="70"/>
    </row>
    <row r="24" spans="2:11" x14ac:dyDescent="0.2">
      <c r="C24" s="70"/>
      <c r="D24" s="70"/>
      <c r="E24" s="70"/>
      <c r="F24" s="70"/>
      <c r="G24" s="70"/>
      <c r="H24" s="70"/>
      <c r="I24" s="70"/>
      <c r="J24" s="70"/>
      <c r="K24" s="70"/>
    </row>
    <row r="25" spans="2:11" x14ac:dyDescent="0.2">
      <c r="C25" s="70"/>
      <c r="D25" s="70"/>
      <c r="E25" s="70"/>
      <c r="F25" s="70"/>
      <c r="G25" s="70"/>
      <c r="H25" s="70"/>
      <c r="I25" s="70"/>
      <c r="J25" s="70"/>
      <c r="K25" s="70"/>
    </row>
    <row r="26" spans="2:11" x14ac:dyDescent="0.2">
      <c r="C26" s="70"/>
      <c r="D26" s="70"/>
      <c r="E26" s="70"/>
      <c r="F26" s="70"/>
      <c r="G26" s="70"/>
      <c r="H26" s="70"/>
      <c r="I26" s="70"/>
      <c r="J26" s="70"/>
      <c r="K26" s="70"/>
    </row>
    <row r="27" spans="2:11" x14ac:dyDescent="0.2">
      <c r="C27" s="70"/>
      <c r="D27" s="70"/>
      <c r="E27" s="70"/>
      <c r="F27" s="70"/>
      <c r="G27" s="70"/>
      <c r="H27" s="70"/>
      <c r="I27" s="70"/>
      <c r="J27" s="70"/>
      <c r="K27" s="70"/>
    </row>
    <row r="28" spans="2:11" x14ac:dyDescent="0.2">
      <c r="C28" s="70"/>
      <c r="D28" s="70"/>
      <c r="E28" s="70"/>
      <c r="F28" s="70"/>
      <c r="G28" s="70"/>
      <c r="H28" s="70"/>
      <c r="I28" s="70"/>
      <c r="J28" s="70"/>
      <c r="K28" s="70"/>
    </row>
    <row r="29" spans="2:11" x14ac:dyDescent="0.2">
      <c r="C29" s="70"/>
      <c r="D29" s="70"/>
      <c r="E29" s="70"/>
      <c r="F29" s="70"/>
      <c r="G29" s="70"/>
      <c r="H29" s="70"/>
      <c r="I29" s="70"/>
      <c r="J29" s="70"/>
      <c r="K29" s="70"/>
    </row>
  </sheetData>
  <mergeCells count="1">
    <mergeCell ref="C23:K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KDC</vt:lpstr>
      <vt:lpstr>Shimla Cafe</vt:lpstr>
      <vt:lpstr>Shimla Café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Author</cp:lastModifiedBy>
  <dcterms:created xsi:type="dcterms:W3CDTF">2021-07-12T04:30:45Z</dcterms:created>
  <dcterms:modified xsi:type="dcterms:W3CDTF">2022-07-14T08:49:25Z</dcterms:modified>
</cp:coreProperties>
</file>