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SCM MDP\"/>
    </mc:Choice>
  </mc:AlternateContent>
  <bookViews>
    <workbookView xWindow="0" yWindow="0" windowWidth="19200" windowHeight="7310"/>
  </bookViews>
  <sheets>
    <sheet name="Corr 0.5" sheetId="4" r:id="rId1"/>
    <sheet name="Corr 0" sheetId="5" r:id="rId2"/>
    <sheet name="Corr 1" sheetId="6" r:id="rId3"/>
    <sheet name="only pooling medium &amp; low = 0.5" sheetId="7" r:id="rId4"/>
    <sheet name="only pooling high = 0.5" sheetId="9" r:id="rId5"/>
    <sheet name="only pooling medium &amp; low = 0" sheetId="10" r:id="rId6"/>
    <sheet name="only pooling high = 0" sheetId="11" r:id="rId7"/>
    <sheet name="only pooling medium &amp; low = 1" sheetId="12" r:id="rId8"/>
    <sheet name="only pooling high = 1" sheetId="13" r:id="rId9"/>
    <sheet name="Assumptions" sheetId="2" r:id="rId10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31" i="4" l="1"/>
  <c r="B30" i="4"/>
  <c r="B16" i="4"/>
  <c r="J16" i="4"/>
  <c r="F58" i="4" l="1"/>
  <c r="B47" i="4"/>
  <c r="A67" i="13" l="1"/>
  <c r="A66" i="13"/>
  <c r="A65" i="13"/>
  <c r="A68" i="13" s="1"/>
  <c r="A69" i="13" s="1"/>
  <c r="B69" i="13" s="1"/>
  <c r="I55" i="13"/>
  <c r="E55" i="13"/>
  <c r="B55" i="13"/>
  <c r="E54" i="13"/>
  <c r="B54" i="13"/>
  <c r="C47" i="13"/>
  <c r="I53" i="13" s="1"/>
  <c r="F43" i="13"/>
  <c r="F42" i="13"/>
  <c r="E42" i="13"/>
  <c r="F41" i="13"/>
  <c r="E41" i="13"/>
  <c r="D41" i="13"/>
  <c r="F40" i="13"/>
  <c r="E40" i="13"/>
  <c r="D40" i="13"/>
  <c r="C40" i="13"/>
  <c r="B32" i="13"/>
  <c r="U25" i="13"/>
  <c r="T25" i="13"/>
  <c r="AA25" i="13" s="1"/>
  <c r="J25" i="13"/>
  <c r="E25" i="13"/>
  <c r="D25" i="13"/>
  <c r="C25" i="13"/>
  <c r="U24" i="13"/>
  <c r="AB24" i="13" s="1"/>
  <c r="T24" i="13"/>
  <c r="S24" i="13"/>
  <c r="Z24" i="13" s="1"/>
  <c r="R24" i="13"/>
  <c r="Y24" i="13" s="1"/>
  <c r="Q24" i="13"/>
  <c r="N24" i="13"/>
  <c r="D24" i="13"/>
  <c r="C24" i="13"/>
  <c r="B24" i="13"/>
  <c r="Q23" i="13"/>
  <c r="X23" i="13" s="1"/>
  <c r="N23" i="13"/>
  <c r="M23" i="13"/>
  <c r="J23" i="13"/>
  <c r="N18" i="13"/>
  <c r="M18" i="13"/>
  <c r="M25" i="13" s="1"/>
  <c r="L18" i="13"/>
  <c r="L25" i="13" s="1"/>
  <c r="K18" i="13"/>
  <c r="K25" i="13" s="1"/>
  <c r="J18" i="13"/>
  <c r="F18" i="13"/>
  <c r="F25" i="13" s="1"/>
  <c r="E18" i="13"/>
  <c r="D18" i="13"/>
  <c r="C18" i="13"/>
  <c r="B18" i="13"/>
  <c r="B25" i="13" s="1"/>
  <c r="N17" i="13"/>
  <c r="M17" i="13"/>
  <c r="L17" i="13"/>
  <c r="L24" i="13" s="1"/>
  <c r="K17" i="13"/>
  <c r="K24" i="13" s="1"/>
  <c r="J17" i="13"/>
  <c r="J24" i="13" s="1"/>
  <c r="F17" i="13"/>
  <c r="F24" i="13" s="1"/>
  <c r="E17" i="13"/>
  <c r="E24" i="13" s="1"/>
  <c r="D17" i="13"/>
  <c r="C17" i="13"/>
  <c r="B17" i="13"/>
  <c r="AD16" i="13"/>
  <c r="N16" i="13"/>
  <c r="M16" i="13"/>
  <c r="L16" i="13"/>
  <c r="L23" i="13" s="1"/>
  <c r="K16" i="13"/>
  <c r="K23" i="13" s="1"/>
  <c r="J16" i="13"/>
  <c r="F16" i="13"/>
  <c r="F23" i="13" s="1"/>
  <c r="E16" i="13"/>
  <c r="E23" i="13" s="1"/>
  <c r="D16" i="13"/>
  <c r="D23" i="13" s="1"/>
  <c r="C16" i="13"/>
  <c r="C23" i="13" s="1"/>
  <c r="B16" i="13"/>
  <c r="B23" i="13" s="1"/>
  <c r="K12" i="13"/>
  <c r="K10" i="13"/>
  <c r="F10" i="13"/>
  <c r="E10" i="13"/>
  <c r="D10" i="13"/>
  <c r="C10" i="13"/>
  <c r="B10" i="13"/>
  <c r="F7" i="13"/>
  <c r="E7" i="13"/>
  <c r="D7" i="13"/>
  <c r="C7" i="13"/>
  <c r="B7" i="13"/>
  <c r="K4" i="13"/>
  <c r="S25" i="13" s="1"/>
  <c r="Z25" i="13" s="1"/>
  <c r="F4" i="13"/>
  <c r="E4" i="13"/>
  <c r="D4" i="13"/>
  <c r="C4" i="13"/>
  <c r="B4" i="13"/>
  <c r="B47" i="13" s="1"/>
  <c r="B53" i="13" s="1"/>
  <c r="K3" i="13"/>
  <c r="F30" i="13" s="1"/>
  <c r="A69" i="12"/>
  <c r="A67" i="12"/>
  <c r="E57" i="12"/>
  <c r="I55" i="12"/>
  <c r="E55" i="12"/>
  <c r="B55" i="12"/>
  <c r="C51" i="12"/>
  <c r="B62" i="12" s="1"/>
  <c r="C50" i="12"/>
  <c r="I56" i="12" s="1"/>
  <c r="T45" i="12"/>
  <c r="M45" i="12"/>
  <c r="T44" i="12"/>
  <c r="S44" i="12"/>
  <c r="M44" i="12"/>
  <c r="L44" i="12"/>
  <c r="T43" i="12"/>
  <c r="S43" i="12"/>
  <c r="R43" i="12"/>
  <c r="M43" i="12"/>
  <c r="L43" i="12"/>
  <c r="K43" i="12"/>
  <c r="T42" i="12"/>
  <c r="S42" i="12"/>
  <c r="R42" i="12"/>
  <c r="Q42" i="12"/>
  <c r="M42" i="12"/>
  <c r="L42" i="12"/>
  <c r="K42" i="12"/>
  <c r="J42" i="12"/>
  <c r="U25" i="12"/>
  <c r="T25" i="12"/>
  <c r="AA25" i="12" s="1"/>
  <c r="S25" i="12"/>
  <c r="M25" i="12"/>
  <c r="L25" i="12"/>
  <c r="Z25" i="12" s="1"/>
  <c r="E25" i="12"/>
  <c r="D25" i="12"/>
  <c r="C25" i="12"/>
  <c r="B25" i="12"/>
  <c r="T24" i="12"/>
  <c r="AA24" i="12" s="1"/>
  <c r="S24" i="12"/>
  <c r="R24" i="12"/>
  <c r="Y24" i="12" s="1"/>
  <c r="Q24" i="12"/>
  <c r="N24" i="12"/>
  <c r="F24" i="12"/>
  <c r="E24" i="12"/>
  <c r="C24" i="12"/>
  <c r="B24" i="12"/>
  <c r="S23" i="12"/>
  <c r="R23" i="12"/>
  <c r="Y23" i="12" s="1"/>
  <c r="N23" i="12"/>
  <c r="L23" i="12"/>
  <c r="Z23" i="12" s="1"/>
  <c r="J23" i="12"/>
  <c r="F23" i="12"/>
  <c r="B23" i="12"/>
  <c r="N18" i="12"/>
  <c r="N25" i="12" s="1"/>
  <c r="M18" i="12"/>
  <c r="L18" i="12"/>
  <c r="K18" i="12"/>
  <c r="K25" i="12" s="1"/>
  <c r="J18" i="12"/>
  <c r="J25" i="12" s="1"/>
  <c r="F18" i="12"/>
  <c r="F25" i="12" s="1"/>
  <c r="E18" i="12"/>
  <c r="G18" i="12" s="1"/>
  <c r="D18" i="12"/>
  <c r="C18" i="12"/>
  <c r="B18" i="12"/>
  <c r="N17" i="12"/>
  <c r="M17" i="12"/>
  <c r="M24" i="12" s="1"/>
  <c r="L17" i="12"/>
  <c r="L24" i="12" s="1"/>
  <c r="K17" i="12"/>
  <c r="K24" i="12" s="1"/>
  <c r="J17" i="12"/>
  <c r="J24" i="12" s="1"/>
  <c r="X24" i="12" s="1"/>
  <c r="G17" i="12"/>
  <c r="F17" i="12"/>
  <c r="E17" i="12"/>
  <c r="D17" i="12"/>
  <c r="D24" i="12" s="1"/>
  <c r="C17" i="12"/>
  <c r="B17" i="12"/>
  <c r="AD16" i="12"/>
  <c r="N16" i="12"/>
  <c r="M16" i="12"/>
  <c r="M23" i="12" s="1"/>
  <c r="L16" i="12"/>
  <c r="K16" i="12"/>
  <c r="K23" i="12" s="1"/>
  <c r="J16" i="12"/>
  <c r="G16" i="12"/>
  <c r="F16" i="12"/>
  <c r="E16" i="12"/>
  <c r="E23" i="12" s="1"/>
  <c r="D16" i="12"/>
  <c r="D23" i="12" s="1"/>
  <c r="C16" i="12"/>
  <c r="C23" i="12" s="1"/>
  <c r="B16" i="12"/>
  <c r="K10" i="12"/>
  <c r="K12" i="12" s="1"/>
  <c r="F10" i="12"/>
  <c r="E10" i="12"/>
  <c r="D10" i="12"/>
  <c r="C10" i="12"/>
  <c r="B10" i="12"/>
  <c r="F7" i="12"/>
  <c r="E7" i="12"/>
  <c r="D7" i="12"/>
  <c r="C7" i="12"/>
  <c r="B7" i="12"/>
  <c r="K4" i="12"/>
  <c r="R25" i="12" s="1"/>
  <c r="Y25" i="12" s="1"/>
  <c r="F4" i="12"/>
  <c r="E4" i="12"/>
  <c r="D4" i="12"/>
  <c r="C4" i="12"/>
  <c r="B4" i="12"/>
  <c r="K3" i="12"/>
  <c r="F30" i="12" s="1"/>
  <c r="A67" i="11"/>
  <c r="A66" i="11"/>
  <c r="A68" i="11" s="1"/>
  <c r="A69" i="11" s="1"/>
  <c r="B69" i="11" s="1"/>
  <c r="A65" i="11"/>
  <c r="I55" i="11"/>
  <c r="E55" i="11"/>
  <c r="B55" i="11"/>
  <c r="I54" i="11"/>
  <c r="E54" i="11"/>
  <c r="B54" i="11"/>
  <c r="I53" i="11"/>
  <c r="C47" i="11"/>
  <c r="E53" i="11" s="1"/>
  <c r="F43" i="11"/>
  <c r="F42" i="11"/>
  <c r="E42" i="11"/>
  <c r="F41" i="11"/>
  <c r="E41" i="11"/>
  <c r="D41" i="11"/>
  <c r="F40" i="11"/>
  <c r="E40" i="11"/>
  <c r="D40" i="11"/>
  <c r="C40" i="11"/>
  <c r="D32" i="11"/>
  <c r="F31" i="11"/>
  <c r="C31" i="11"/>
  <c r="E30" i="11"/>
  <c r="B30" i="11"/>
  <c r="U25" i="11"/>
  <c r="T25" i="11"/>
  <c r="R25" i="11"/>
  <c r="M25" i="11"/>
  <c r="D25" i="11"/>
  <c r="C25" i="11"/>
  <c r="S24" i="11"/>
  <c r="Q24" i="11"/>
  <c r="X24" i="11" s="1"/>
  <c r="L24" i="11"/>
  <c r="B24" i="11"/>
  <c r="S23" i="11"/>
  <c r="M23" i="11"/>
  <c r="K23" i="11"/>
  <c r="B23" i="11"/>
  <c r="N18" i="11"/>
  <c r="N25" i="11" s="1"/>
  <c r="M18" i="11"/>
  <c r="L18" i="11"/>
  <c r="L25" i="11" s="1"/>
  <c r="K18" i="11"/>
  <c r="K25" i="11" s="1"/>
  <c r="Y25" i="11" s="1"/>
  <c r="J18" i="11"/>
  <c r="J25" i="11" s="1"/>
  <c r="G18" i="11"/>
  <c r="F18" i="11"/>
  <c r="F25" i="11" s="1"/>
  <c r="E18" i="11"/>
  <c r="D18" i="11"/>
  <c r="C18" i="11"/>
  <c r="B18" i="11"/>
  <c r="B25" i="11" s="1"/>
  <c r="N17" i="11"/>
  <c r="N24" i="11" s="1"/>
  <c r="M17" i="11"/>
  <c r="M24" i="11" s="1"/>
  <c r="L17" i="11"/>
  <c r="K17" i="11"/>
  <c r="K24" i="11" s="1"/>
  <c r="J17" i="11"/>
  <c r="J24" i="11" s="1"/>
  <c r="F17" i="11"/>
  <c r="F24" i="11" s="1"/>
  <c r="E17" i="11"/>
  <c r="E24" i="11" s="1"/>
  <c r="D17" i="11"/>
  <c r="D24" i="11" s="1"/>
  <c r="C17" i="11"/>
  <c r="C24" i="11" s="1"/>
  <c r="B17" i="11"/>
  <c r="AD16" i="11"/>
  <c r="N16" i="11"/>
  <c r="N23" i="11" s="1"/>
  <c r="M16" i="11"/>
  <c r="L16" i="11"/>
  <c r="K16" i="11"/>
  <c r="J16" i="11"/>
  <c r="J23" i="11" s="1"/>
  <c r="F16" i="11"/>
  <c r="F23" i="11" s="1"/>
  <c r="E16" i="11"/>
  <c r="E23" i="11" s="1"/>
  <c r="D16" i="11"/>
  <c r="D23" i="11" s="1"/>
  <c r="C16" i="11"/>
  <c r="C23" i="11" s="1"/>
  <c r="B16" i="11"/>
  <c r="K10" i="11"/>
  <c r="K12" i="11" s="1"/>
  <c r="B58" i="11" s="1"/>
  <c r="F10" i="11"/>
  <c r="E10" i="11"/>
  <c r="D10" i="11"/>
  <c r="C10" i="11"/>
  <c r="B10" i="11"/>
  <c r="F7" i="11"/>
  <c r="E7" i="11"/>
  <c r="D7" i="11"/>
  <c r="C7" i="11"/>
  <c r="B7" i="11"/>
  <c r="K4" i="11"/>
  <c r="S25" i="11" s="1"/>
  <c r="Z25" i="11" s="1"/>
  <c r="L32" i="11" s="1"/>
  <c r="F4" i="11"/>
  <c r="E4" i="11"/>
  <c r="D4" i="11"/>
  <c r="C4" i="11"/>
  <c r="B4" i="11"/>
  <c r="K3" i="11"/>
  <c r="F30" i="11" s="1"/>
  <c r="A67" i="10"/>
  <c r="E57" i="10"/>
  <c r="E55" i="10"/>
  <c r="B55" i="10"/>
  <c r="C51" i="10"/>
  <c r="B62" i="10" s="1"/>
  <c r="C50" i="10"/>
  <c r="I56" i="10" s="1"/>
  <c r="T45" i="10"/>
  <c r="M45" i="10"/>
  <c r="T44" i="10"/>
  <c r="S44" i="10"/>
  <c r="M44" i="10"/>
  <c r="L44" i="10"/>
  <c r="T43" i="10"/>
  <c r="S43" i="10"/>
  <c r="R43" i="10"/>
  <c r="M43" i="10"/>
  <c r="L43" i="10"/>
  <c r="K43" i="10"/>
  <c r="T42" i="10"/>
  <c r="S42" i="10"/>
  <c r="R42" i="10"/>
  <c r="Q42" i="10"/>
  <c r="M42" i="10"/>
  <c r="L42" i="10"/>
  <c r="K42" i="10"/>
  <c r="J42" i="10"/>
  <c r="U25" i="10"/>
  <c r="T25" i="10"/>
  <c r="J25" i="10"/>
  <c r="E25" i="10"/>
  <c r="D25" i="10"/>
  <c r="C25" i="10"/>
  <c r="U24" i="10"/>
  <c r="AB24" i="10" s="1"/>
  <c r="T24" i="10"/>
  <c r="AA24" i="10" s="1"/>
  <c r="S24" i="10"/>
  <c r="R24" i="10"/>
  <c r="Y24" i="10" s="1"/>
  <c r="Q24" i="10"/>
  <c r="N24" i="10"/>
  <c r="D24" i="10"/>
  <c r="C24" i="10"/>
  <c r="B24" i="10"/>
  <c r="Q23" i="10"/>
  <c r="X23" i="10" s="1"/>
  <c r="N23" i="10"/>
  <c r="M23" i="10"/>
  <c r="J23" i="10"/>
  <c r="N18" i="10"/>
  <c r="N25" i="10" s="1"/>
  <c r="M18" i="10"/>
  <c r="M25" i="10" s="1"/>
  <c r="L18" i="10"/>
  <c r="L25" i="10" s="1"/>
  <c r="K18" i="10"/>
  <c r="K25" i="10" s="1"/>
  <c r="J18" i="10"/>
  <c r="F18" i="10"/>
  <c r="F25" i="10" s="1"/>
  <c r="E18" i="10"/>
  <c r="D18" i="10"/>
  <c r="C18" i="10"/>
  <c r="B18" i="10"/>
  <c r="B25" i="10" s="1"/>
  <c r="N17" i="10"/>
  <c r="M17" i="10"/>
  <c r="M24" i="10" s="1"/>
  <c r="L17" i="10"/>
  <c r="L24" i="10" s="1"/>
  <c r="K17" i="10"/>
  <c r="K24" i="10" s="1"/>
  <c r="J17" i="10"/>
  <c r="J24" i="10" s="1"/>
  <c r="F17" i="10"/>
  <c r="F24" i="10" s="1"/>
  <c r="E17" i="10"/>
  <c r="E24" i="10" s="1"/>
  <c r="D17" i="10"/>
  <c r="C17" i="10"/>
  <c r="B17" i="10"/>
  <c r="AD16" i="10"/>
  <c r="N16" i="10"/>
  <c r="M16" i="10"/>
  <c r="L16" i="10"/>
  <c r="L23" i="10" s="1"/>
  <c r="K16" i="10"/>
  <c r="K23" i="10" s="1"/>
  <c r="J16" i="10"/>
  <c r="F16" i="10"/>
  <c r="F23" i="10" s="1"/>
  <c r="E16" i="10"/>
  <c r="E23" i="10" s="1"/>
  <c r="D16" i="10"/>
  <c r="D23" i="10" s="1"/>
  <c r="C16" i="10"/>
  <c r="C23" i="10" s="1"/>
  <c r="B16" i="10"/>
  <c r="B23" i="10" s="1"/>
  <c r="K12" i="10"/>
  <c r="K10" i="10"/>
  <c r="F10" i="10"/>
  <c r="E10" i="10"/>
  <c r="D10" i="10"/>
  <c r="C10" i="10"/>
  <c r="B10" i="10"/>
  <c r="F7" i="10"/>
  <c r="E7" i="10"/>
  <c r="D7" i="10"/>
  <c r="C7" i="10"/>
  <c r="B7" i="10"/>
  <c r="B50" i="10" s="1"/>
  <c r="B56" i="10" s="1"/>
  <c r="K4" i="10"/>
  <c r="S25" i="10" s="1"/>
  <c r="F4" i="10"/>
  <c r="E4" i="10"/>
  <c r="D4" i="10"/>
  <c r="C4" i="10"/>
  <c r="B4" i="10"/>
  <c r="K3" i="10"/>
  <c r="F30" i="10" s="1"/>
  <c r="F60" i="9"/>
  <c r="F59" i="9"/>
  <c r="B60" i="9"/>
  <c r="B59" i="9"/>
  <c r="A66" i="9"/>
  <c r="I55" i="9"/>
  <c r="E55" i="9"/>
  <c r="I54" i="9"/>
  <c r="C47" i="9"/>
  <c r="I53" i="9" s="1"/>
  <c r="F43" i="9"/>
  <c r="F42" i="9"/>
  <c r="E42" i="9"/>
  <c r="F41" i="9"/>
  <c r="E41" i="9"/>
  <c r="D41" i="9"/>
  <c r="F40" i="9"/>
  <c r="E40" i="9"/>
  <c r="D40" i="9"/>
  <c r="C40" i="9"/>
  <c r="B32" i="9"/>
  <c r="U25" i="9"/>
  <c r="T25" i="9"/>
  <c r="J25" i="9"/>
  <c r="D25" i="9"/>
  <c r="C25" i="9"/>
  <c r="U24" i="9"/>
  <c r="T24" i="9"/>
  <c r="S24" i="9"/>
  <c r="Q24" i="9"/>
  <c r="N24" i="9"/>
  <c r="D24" i="9"/>
  <c r="C24" i="9"/>
  <c r="B24" i="9"/>
  <c r="Q23" i="9"/>
  <c r="X23" i="9" s="1"/>
  <c r="N23" i="9"/>
  <c r="M23" i="9"/>
  <c r="K23" i="9"/>
  <c r="J23" i="9"/>
  <c r="N18" i="9"/>
  <c r="N25" i="9" s="1"/>
  <c r="M18" i="9"/>
  <c r="M25" i="9" s="1"/>
  <c r="L18" i="9"/>
  <c r="L25" i="9" s="1"/>
  <c r="K18" i="9"/>
  <c r="K25" i="9" s="1"/>
  <c r="J18" i="9"/>
  <c r="F18" i="9"/>
  <c r="F25" i="9" s="1"/>
  <c r="E18" i="9"/>
  <c r="D18" i="9"/>
  <c r="C18" i="9"/>
  <c r="B18" i="9"/>
  <c r="B25" i="9" s="1"/>
  <c r="N17" i="9"/>
  <c r="M17" i="9"/>
  <c r="M24" i="9" s="1"/>
  <c r="L17" i="9"/>
  <c r="L24" i="9" s="1"/>
  <c r="K17" i="9"/>
  <c r="K24" i="9" s="1"/>
  <c r="J17" i="9"/>
  <c r="J24" i="9" s="1"/>
  <c r="F17" i="9"/>
  <c r="F24" i="9" s="1"/>
  <c r="E17" i="9"/>
  <c r="E24" i="9" s="1"/>
  <c r="D17" i="9"/>
  <c r="C17" i="9"/>
  <c r="B17" i="9"/>
  <c r="AD16" i="9"/>
  <c r="N16" i="9"/>
  <c r="M16" i="9"/>
  <c r="L16" i="9"/>
  <c r="L23" i="9" s="1"/>
  <c r="K16" i="9"/>
  <c r="J16" i="9"/>
  <c r="F16" i="9"/>
  <c r="F23" i="9" s="1"/>
  <c r="E16" i="9"/>
  <c r="E23" i="9" s="1"/>
  <c r="D16" i="9"/>
  <c r="D23" i="9" s="1"/>
  <c r="C16" i="9"/>
  <c r="C23" i="9" s="1"/>
  <c r="B16" i="9"/>
  <c r="B23" i="9" s="1"/>
  <c r="K12" i="9"/>
  <c r="K10" i="9"/>
  <c r="F10" i="9"/>
  <c r="E10" i="9"/>
  <c r="D10" i="9"/>
  <c r="C10" i="9"/>
  <c r="B55" i="9" s="1"/>
  <c r="B10" i="9"/>
  <c r="F7" i="9"/>
  <c r="E7" i="9"/>
  <c r="B54" i="9" s="1"/>
  <c r="D7" i="9"/>
  <c r="C7" i="9"/>
  <c r="B7" i="9"/>
  <c r="K4" i="9"/>
  <c r="S25" i="9" s="1"/>
  <c r="F4" i="9"/>
  <c r="E4" i="9"/>
  <c r="D4" i="9"/>
  <c r="C4" i="9"/>
  <c r="B4" i="9"/>
  <c r="B47" i="9" s="1"/>
  <c r="B53" i="9" s="1"/>
  <c r="K3" i="9"/>
  <c r="F30" i="9" s="1"/>
  <c r="F60" i="7"/>
  <c r="B60" i="7"/>
  <c r="C51" i="7"/>
  <c r="A69" i="7" s="1"/>
  <c r="C50" i="7"/>
  <c r="A68" i="7" s="1"/>
  <c r="B55" i="7"/>
  <c r="T45" i="7"/>
  <c r="M45" i="7"/>
  <c r="T44" i="7"/>
  <c r="S44" i="7"/>
  <c r="M44" i="7"/>
  <c r="L44" i="7"/>
  <c r="T43" i="7"/>
  <c r="S43" i="7"/>
  <c r="R43" i="7"/>
  <c r="M43" i="7"/>
  <c r="L43" i="7"/>
  <c r="K43" i="7"/>
  <c r="T42" i="7"/>
  <c r="S42" i="7"/>
  <c r="R42" i="7"/>
  <c r="Q42" i="7"/>
  <c r="M42" i="7"/>
  <c r="L42" i="7"/>
  <c r="K42" i="7"/>
  <c r="J42" i="7"/>
  <c r="F32" i="7"/>
  <c r="E31" i="7"/>
  <c r="C31" i="7"/>
  <c r="F30" i="7"/>
  <c r="T25" i="7"/>
  <c r="Q25" i="7"/>
  <c r="B25" i="7"/>
  <c r="N24" i="7"/>
  <c r="M24" i="7"/>
  <c r="L24" i="7"/>
  <c r="N18" i="7"/>
  <c r="M18" i="7"/>
  <c r="M25" i="7" s="1"/>
  <c r="L18" i="7"/>
  <c r="L25" i="7" s="1"/>
  <c r="K18" i="7"/>
  <c r="J18" i="7"/>
  <c r="F18" i="7"/>
  <c r="F25" i="7" s="1"/>
  <c r="E18" i="7"/>
  <c r="D18" i="7"/>
  <c r="C18" i="7"/>
  <c r="B18" i="7"/>
  <c r="N17" i="7"/>
  <c r="M17" i="7"/>
  <c r="L17" i="7"/>
  <c r="K17" i="7"/>
  <c r="K24" i="7" s="1"/>
  <c r="J17" i="7"/>
  <c r="F17" i="7"/>
  <c r="E17" i="7"/>
  <c r="E24" i="7" s="1"/>
  <c r="D17" i="7"/>
  <c r="D24" i="7" s="1"/>
  <c r="C17" i="7"/>
  <c r="B17" i="7"/>
  <c r="AD16" i="7"/>
  <c r="N16" i="7"/>
  <c r="N23" i="7" s="1"/>
  <c r="M16" i="7"/>
  <c r="M23" i="7" s="1"/>
  <c r="L16" i="7"/>
  <c r="K16" i="7"/>
  <c r="K23" i="7" s="1"/>
  <c r="J16" i="7"/>
  <c r="J23" i="7" s="1"/>
  <c r="F16" i="7"/>
  <c r="F23" i="7" s="1"/>
  <c r="E16" i="7"/>
  <c r="E23" i="7" s="1"/>
  <c r="D16" i="7"/>
  <c r="D23" i="7" s="1"/>
  <c r="C16" i="7"/>
  <c r="C23" i="7" s="1"/>
  <c r="B16" i="7"/>
  <c r="B23" i="7" s="1"/>
  <c r="K12" i="7"/>
  <c r="K10" i="7"/>
  <c r="F10" i="7"/>
  <c r="E10" i="7"/>
  <c r="D10" i="7"/>
  <c r="C10" i="7"/>
  <c r="B10" i="7"/>
  <c r="F7" i="7"/>
  <c r="E7" i="7"/>
  <c r="D7" i="7"/>
  <c r="C7" i="7"/>
  <c r="B7" i="7"/>
  <c r="K4" i="7"/>
  <c r="I55" i="7" s="1"/>
  <c r="F4" i="7"/>
  <c r="E4" i="7"/>
  <c r="D4" i="7"/>
  <c r="C4" i="7"/>
  <c r="B4" i="7"/>
  <c r="K3" i="7"/>
  <c r="C32" i="7" s="1"/>
  <c r="G8" i="5"/>
  <c r="G5" i="5"/>
  <c r="G2" i="5"/>
  <c r="B76" i="6"/>
  <c r="A66" i="6"/>
  <c r="I55" i="6"/>
  <c r="E54" i="6"/>
  <c r="E53" i="6"/>
  <c r="C49" i="6"/>
  <c r="E55" i="6" s="1"/>
  <c r="C48" i="6"/>
  <c r="I54" i="6" s="1"/>
  <c r="C47" i="6"/>
  <c r="A65" i="6" s="1"/>
  <c r="T43" i="6"/>
  <c r="M43" i="6"/>
  <c r="F43" i="6"/>
  <c r="T42" i="6"/>
  <c r="S42" i="6"/>
  <c r="M42" i="6"/>
  <c r="L42" i="6"/>
  <c r="F42" i="6"/>
  <c r="E42" i="6"/>
  <c r="T41" i="6"/>
  <c r="S41" i="6"/>
  <c r="R41" i="6"/>
  <c r="M41" i="6"/>
  <c r="L41" i="6"/>
  <c r="K41" i="6"/>
  <c r="F41" i="6"/>
  <c r="E41" i="6"/>
  <c r="D41" i="6"/>
  <c r="T40" i="6"/>
  <c r="S40" i="6"/>
  <c r="R40" i="6"/>
  <c r="Q40" i="6"/>
  <c r="M40" i="6"/>
  <c r="L40" i="6"/>
  <c r="K40" i="6"/>
  <c r="J40" i="6"/>
  <c r="F40" i="6"/>
  <c r="E40" i="6"/>
  <c r="D40" i="6"/>
  <c r="C40" i="6"/>
  <c r="F32" i="6"/>
  <c r="E31" i="6"/>
  <c r="D30" i="6"/>
  <c r="U25" i="6"/>
  <c r="Q25" i="6"/>
  <c r="F25" i="6"/>
  <c r="D25" i="6"/>
  <c r="S24" i="6"/>
  <c r="Q24" i="6"/>
  <c r="K24" i="6"/>
  <c r="U23" i="6"/>
  <c r="M23" i="6"/>
  <c r="K23" i="6"/>
  <c r="D23" i="6"/>
  <c r="N18" i="6"/>
  <c r="M18" i="6"/>
  <c r="L18" i="6"/>
  <c r="L25" i="6" s="1"/>
  <c r="K18" i="6"/>
  <c r="K25" i="6" s="1"/>
  <c r="J18" i="6"/>
  <c r="G18" i="6"/>
  <c r="F18" i="6"/>
  <c r="E18" i="6"/>
  <c r="D18" i="6"/>
  <c r="C18" i="6"/>
  <c r="C25" i="6" s="1"/>
  <c r="B18" i="6"/>
  <c r="B25" i="6" s="1"/>
  <c r="N17" i="6"/>
  <c r="N24" i="6" s="1"/>
  <c r="M17" i="6"/>
  <c r="M24" i="6" s="1"/>
  <c r="L17" i="6"/>
  <c r="L24" i="6" s="1"/>
  <c r="K17" i="6"/>
  <c r="J17" i="6"/>
  <c r="J24" i="6" s="1"/>
  <c r="F17" i="6"/>
  <c r="F24" i="6" s="1"/>
  <c r="E17" i="6"/>
  <c r="E24" i="6" s="1"/>
  <c r="D17" i="6"/>
  <c r="D24" i="6" s="1"/>
  <c r="C17" i="6"/>
  <c r="B17" i="6"/>
  <c r="B24" i="6" s="1"/>
  <c r="AD16" i="6"/>
  <c r="N16" i="6"/>
  <c r="M16" i="6"/>
  <c r="L16" i="6"/>
  <c r="K16" i="6"/>
  <c r="J16" i="6"/>
  <c r="J23" i="6" s="1"/>
  <c r="F16" i="6"/>
  <c r="F23" i="6" s="1"/>
  <c r="E16" i="6"/>
  <c r="E23" i="6" s="1"/>
  <c r="D16" i="6"/>
  <c r="C16" i="6"/>
  <c r="C23" i="6" s="1"/>
  <c r="B16" i="6"/>
  <c r="B23" i="6" s="1"/>
  <c r="K12" i="6"/>
  <c r="B58" i="6" s="1"/>
  <c r="K10" i="6"/>
  <c r="F10" i="6"/>
  <c r="E10" i="6"/>
  <c r="D10" i="6"/>
  <c r="C10" i="6"/>
  <c r="B10" i="6"/>
  <c r="F7" i="6"/>
  <c r="E7" i="6"/>
  <c r="D7" i="6"/>
  <c r="C7" i="6"/>
  <c r="B7" i="6"/>
  <c r="K4" i="6"/>
  <c r="T25" i="6" s="1"/>
  <c r="F4" i="6"/>
  <c r="E4" i="6"/>
  <c r="D4" i="6"/>
  <c r="C4" i="6"/>
  <c r="B4" i="6"/>
  <c r="K3" i="6"/>
  <c r="F30" i="6" s="1"/>
  <c r="B76" i="5"/>
  <c r="A66" i="5"/>
  <c r="I55" i="5"/>
  <c r="I54" i="5"/>
  <c r="C49" i="5"/>
  <c r="E55" i="5" s="1"/>
  <c r="C48" i="5"/>
  <c r="E54" i="5" s="1"/>
  <c r="C47" i="5"/>
  <c r="A65" i="5" s="1"/>
  <c r="T43" i="5"/>
  <c r="M43" i="5"/>
  <c r="F43" i="5"/>
  <c r="T42" i="5"/>
  <c r="S42" i="5"/>
  <c r="M42" i="5"/>
  <c r="L42" i="5"/>
  <c r="F42" i="5"/>
  <c r="E42" i="5"/>
  <c r="T41" i="5"/>
  <c r="S41" i="5"/>
  <c r="R41" i="5"/>
  <c r="M41" i="5"/>
  <c r="L41" i="5"/>
  <c r="K41" i="5"/>
  <c r="F41" i="5"/>
  <c r="E41" i="5"/>
  <c r="D41" i="5"/>
  <c r="T40" i="5"/>
  <c r="S40" i="5"/>
  <c r="R40" i="5"/>
  <c r="Q40" i="5"/>
  <c r="M40" i="5"/>
  <c r="L40" i="5"/>
  <c r="K40" i="5"/>
  <c r="J40" i="5"/>
  <c r="F40" i="5"/>
  <c r="E40" i="5"/>
  <c r="D40" i="5"/>
  <c r="C40" i="5"/>
  <c r="D32" i="5"/>
  <c r="F31" i="5"/>
  <c r="C31" i="5"/>
  <c r="E30" i="5"/>
  <c r="B30" i="5"/>
  <c r="U25" i="5"/>
  <c r="R25" i="5"/>
  <c r="Q24" i="5"/>
  <c r="L24" i="5"/>
  <c r="K23" i="5"/>
  <c r="E23" i="5"/>
  <c r="N18" i="5"/>
  <c r="N25" i="5" s="1"/>
  <c r="M18" i="5"/>
  <c r="L18" i="5"/>
  <c r="L25" i="5" s="1"/>
  <c r="K18" i="5"/>
  <c r="K25" i="5" s="1"/>
  <c r="J18" i="5"/>
  <c r="J25" i="5" s="1"/>
  <c r="F18" i="5"/>
  <c r="F25" i="5" s="1"/>
  <c r="E18" i="5"/>
  <c r="E25" i="5" s="1"/>
  <c r="D18" i="5"/>
  <c r="D25" i="5" s="1"/>
  <c r="C18" i="5"/>
  <c r="C25" i="5" s="1"/>
  <c r="B18" i="5"/>
  <c r="B25" i="5" s="1"/>
  <c r="N17" i="5"/>
  <c r="N24" i="5" s="1"/>
  <c r="M17" i="5"/>
  <c r="M24" i="5" s="1"/>
  <c r="L17" i="5"/>
  <c r="K17" i="5"/>
  <c r="K24" i="5" s="1"/>
  <c r="J17" i="5"/>
  <c r="J24" i="5" s="1"/>
  <c r="F17" i="5"/>
  <c r="F24" i="5" s="1"/>
  <c r="E17" i="5"/>
  <c r="E24" i="5" s="1"/>
  <c r="D17" i="5"/>
  <c r="D24" i="5" s="1"/>
  <c r="C17" i="5"/>
  <c r="C24" i="5" s="1"/>
  <c r="B17" i="5"/>
  <c r="B24" i="5" s="1"/>
  <c r="AD16" i="5"/>
  <c r="N16" i="5"/>
  <c r="N23" i="5" s="1"/>
  <c r="M16" i="5"/>
  <c r="M23" i="5" s="1"/>
  <c r="L16" i="5"/>
  <c r="L23" i="5" s="1"/>
  <c r="K16" i="5"/>
  <c r="J16" i="5"/>
  <c r="J23" i="5" s="1"/>
  <c r="F16" i="5"/>
  <c r="F23" i="5" s="1"/>
  <c r="E16" i="5"/>
  <c r="D16" i="5"/>
  <c r="D23" i="5" s="1"/>
  <c r="C16" i="5"/>
  <c r="C23" i="5" s="1"/>
  <c r="B16" i="5"/>
  <c r="G16" i="5" s="1"/>
  <c r="K10" i="5"/>
  <c r="K12" i="5" s="1"/>
  <c r="B58" i="5" s="1"/>
  <c r="F10" i="5"/>
  <c r="E10" i="5"/>
  <c r="D10" i="5"/>
  <c r="C10" i="5"/>
  <c r="B10" i="5"/>
  <c r="F7" i="5"/>
  <c r="E7" i="5"/>
  <c r="D7" i="5"/>
  <c r="C7" i="5"/>
  <c r="B48" i="5" s="1"/>
  <c r="B54" i="5" s="1"/>
  <c r="B7" i="5"/>
  <c r="K4" i="5"/>
  <c r="T25" i="5" s="1"/>
  <c r="F4" i="5"/>
  <c r="E4" i="5"/>
  <c r="D4" i="5"/>
  <c r="C4" i="5"/>
  <c r="B4" i="5"/>
  <c r="B47" i="5" s="1"/>
  <c r="B53" i="5" s="1"/>
  <c r="K3" i="5"/>
  <c r="F30" i="5" s="1"/>
  <c r="B77" i="4"/>
  <c r="B75" i="4"/>
  <c r="B74" i="4"/>
  <c r="B73" i="4"/>
  <c r="B76" i="4"/>
  <c r="A67" i="4"/>
  <c r="A66" i="4"/>
  <c r="E55" i="4"/>
  <c r="E54" i="4"/>
  <c r="E53" i="4"/>
  <c r="C49" i="4"/>
  <c r="C48" i="4"/>
  <c r="I54" i="4" s="1"/>
  <c r="C47" i="4"/>
  <c r="A65" i="4" s="1"/>
  <c r="A68" i="4" s="1"/>
  <c r="A69" i="4" s="1"/>
  <c r="B69" i="4" s="1"/>
  <c r="T43" i="4"/>
  <c r="M43" i="4"/>
  <c r="F43" i="4"/>
  <c r="T42" i="4"/>
  <c r="S42" i="4"/>
  <c r="M42" i="4"/>
  <c r="L42" i="4"/>
  <c r="F42" i="4"/>
  <c r="E42" i="4"/>
  <c r="T41" i="4"/>
  <c r="S41" i="4"/>
  <c r="R41" i="4"/>
  <c r="M41" i="4"/>
  <c r="L41" i="4"/>
  <c r="K41" i="4"/>
  <c r="F41" i="4"/>
  <c r="E41" i="4"/>
  <c r="D41" i="4"/>
  <c r="T40" i="4"/>
  <c r="S40" i="4"/>
  <c r="R40" i="4"/>
  <c r="Q40" i="4"/>
  <c r="M40" i="4"/>
  <c r="L40" i="4"/>
  <c r="K40" i="4"/>
  <c r="J40" i="4"/>
  <c r="F40" i="4"/>
  <c r="E40" i="4"/>
  <c r="D40" i="4"/>
  <c r="C40" i="4"/>
  <c r="F32" i="4"/>
  <c r="E32" i="4"/>
  <c r="D32" i="4"/>
  <c r="C32" i="4"/>
  <c r="B32" i="4"/>
  <c r="E31" i="4"/>
  <c r="D31" i="4"/>
  <c r="C31" i="4"/>
  <c r="B31" i="4"/>
  <c r="F30" i="4"/>
  <c r="D30" i="4"/>
  <c r="C30" i="4"/>
  <c r="N18" i="4"/>
  <c r="M18" i="4"/>
  <c r="M25" i="4" s="1"/>
  <c r="L18" i="4"/>
  <c r="K18" i="4"/>
  <c r="J18" i="4"/>
  <c r="J25" i="4" s="1"/>
  <c r="F18" i="4"/>
  <c r="F25" i="4" s="1"/>
  <c r="E18" i="4"/>
  <c r="E25" i="4" s="1"/>
  <c r="D18" i="4"/>
  <c r="C18" i="4"/>
  <c r="C25" i="4" s="1"/>
  <c r="B18" i="4"/>
  <c r="G18" i="4" s="1"/>
  <c r="N17" i="4"/>
  <c r="N24" i="4" s="1"/>
  <c r="M17" i="4"/>
  <c r="M24" i="4" s="1"/>
  <c r="L17" i="4"/>
  <c r="L24" i="4" s="1"/>
  <c r="K17" i="4"/>
  <c r="J17" i="4"/>
  <c r="F17" i="4"/>
  <c r="F24" i="4" s="1"/>
  <c r="E17" i="4"/>
  <c r="D17" i="4"/>
  <c r="C17" i="4"/>
  <c r="C24" i="4" s="1"/>
  <c r="B17" i="4"/>
  <c r="B24" i="4" s="1"/>
  <c r="AD16" i="4"/>
  <c r="N16" i="4"/>
  <c r="N23" i="4" s="1"/>
  <c r="M16" i="4"/>
  <c r="M23" i="4" s="1"/>
  <c r="L16" i="4"/>
  <c r="L23" i="4" s="1"/>
  <c r="K16" i="4"/>
  <c r="F16" i="4"/>
  <c r="E16" i="4"/>
  <c r="E23" i="4" s="1"/>
  <c r="D16" i="4"/>
  <c r="C16" i="4"/>
  <c r="G16" i="4"/>
  <c r="K12" i="4"/>
  <c r="B59" i="4" s="1"/>
  <c r="K10" i="4"/>
  <c r="F10" i="4"/>
  <c r="E10" i="4"/>
  <c r="D10" i="4"/>
  <c r="C10" i="4"/>
  <c r="B10" i="4"/>
  <c r="B49" i="4" s="1"/>
  <c r="B55" i="4" s="1"/>
  <c r="F7" i="4"/>
  <c r="E7" i="4"/>
  <c r="D7" i="4"/>
  <c r="C7" i="4"/>
  <c r="B7" i="4"/>
  <c r="B48" i="4" s="1"/>
  <c r="B54" i="4" s="1"/>
  <c r="K4" i="4"/>
  <c r="K25" i="4" s="1"/>
  <c r="F4" i="4"/>
  <c r="E4" i="4"/>
  <c r="D4" i="4"/>
  <c r="B53" i="4" s="1"/>
  <c r="C4" i="4"/>
  <c r="B4" i="4"/>
  <c r="K3" i="4"/>
  <c r="F31" i="4" s="1"/>
  <c r="B50" i="12" l="1"/>
  <c r="B56" i="12" s="1"/>
  <c r="F61" i="12" s="1"/>
  <c r="B51" i="12"/>
  <c r="B57" i="12" s="1"/>
  <c r="X24" i="13"/>
  <c r="AA24" i="13"/>
  <c r="N31" i="13"/>
  <c r="B75" i="13"/>
  <c r="B74" i="13"/>
  <c r="B73" i="13"/>
  <c r="G18" i="13"/>
  <c r="G16" i="13"/>
  <c r="G17" i="13"/>
  <c r="B58" i="13"/>
  <c r="R23" i="13"/>
  <c r="Y23" i="13" s="1"/>
  <c r="K30" i="13" s="1"/>
  <c r="B31" i="13"/>
  <c r="C32" i="13"/>
  <c r="B60" i="13" s="1"/>
  <c r="E53" i="13"/>
  <c r="F58" i="13" s="1"/>
  <c r="S23" i="13"/>
  <c r="Z23" i="13" s="1"/>
  <c r="B30" i="13"/>
  <c r="J30" i="13" s="1"/>
  <c r="C31" i="13"/>
  <c r="K31" i="13" s="1"/>
  <c r="D32" i="13"/>
  <c r="L32" i="13" s="1"/>
  <c r="T23" i="13"/>
  <c r="AA23" i="13" s="1"/>
  <c r="N25" i="13"/>
  <c r="AB25" i="13" s="1"/>
  <c r="N32" i="13" s="1"/>
  <c r="C30" i="13"/>
  <c r="D31" i="13"/>
  <c r="L31" i="13" s="1"/>
  <c r="E32" i="13"/>
  <c r="M32" i="13" s="1"/>
  <c r="U23" i="13"/>
  <c r="AB23" i="13" s="1"/>
  <c r="N30" i="13" s="1"/>
  <c r="Q25" i="13"/>
  <c r="X25" i="13" s="1"/>
  <c r="D30" i="13"/>
  <c r="E31" i="13"/>
  <c r="F32" i="13"/>
  <c r="R25" i="13"/>
  <c r="Y25" i="13" s="1"/>
  <c r="E30" i="13"/>
  <c r="F31" i="13"/>
  <c r="I54" i="13"/>
  <c r="M24" i="13"/>
  <c r="K32" i="12"/>
  <c r="L32" i="12"/>
  <c r="AB25" i="12"/>
  <c r="N32" i="12" s="1"/>
  <c r="A70" i="12"/>
  <c r="A71" i="12" s="1"/>
  <c r="B71" i="12" s="1"/>
  <c r="K31" i="12"/>
  <c r="Z24" i="12"/>
  <c r="L31" i="12" s="1"/>
  <c r="L30" i="12"/>
  <c r="I57" i="12"/>
  <c r="A68" i="12"/>
  <c r="Q23" i="12"/>
  <c r="X23" i="12" s="1"/>
  <c r="U24" i="12"/>
  <c r="AB24" i="12" s="1"/>
  <c r="B32" i="12"/>
  <c r="B61" i="12"/>
  <c r="B30" i="12"/>
  <c r="C31" i="12"/>
  <c r="T23" i="12"/>
  <c r="AA23" i="12" s="1"/>
  <c r="C30" i="12"/>
  <c r="K30" i="12" s="1"/>
  <c r="D31" i="12"/>
  <c r="E32" i="12"/>
  <c r="M32" i="12" s="1"/>
  <c r="U23" i="12"/>
  <c r="AB23" i="12" s="1"/>
  <c r="N30" i="12" s="1"/>
  <c r="Q25" i="12"/>
  <c r="X25" i="12" s="1"/>
  <c r="D30" i="12"/>
  <c r="E31" i="12"/>
  <c r="M31" i="12" s="1"/>
  <c r="F32" i="12"/>
  <c r="E56" i="12"/>
  <c r="B31" i="12"/>
  <c r="J31" i="12" s="1"/>
  <c r="C32" i="12"/>
  <c r="D32" i="12"/>
  <c r="E30" i="12"/>
  <c r="F31" i="12"/>
  <c r="B47" i="11"/>
  <c r="B53" i="11" s="1"/>
  <c r="F58" i="11" s="1"/>
  <c r="H58" i="11" s="1"/>
  <c r="B51" i="10"/>
  <c r="B57" i="10" s="1"/>
  <c r="F62" i="10" s="1"/>
  <c r="H62" i="10" s="1"/>
  <c r="J31" i="11"/>
  <c r="O31" i="11" s="1"/>
  <c r="B75" i="11"/>
  <c r="B74" i="11"/>
  <c r="B73" i="11"/>
  <c r="B77" i="11" s="1"/>
  <c r="Z24" i="11"/>
  <c r="L31" i="11" s="1"/>
  <c r="Z23" i="11"/>
  <c r="AA25" i="11"/>
  <c r="M32" i="11" s="1"/>
  <c r="AB25" i="11"/>
  <c r="N32" i="11" s="1"/>
  <c r="G16" i="11"/>
  <c r="G17" i="11"/>
  <c r="L23" i="11"/>
  <c r="R24" i="11"/>
  <c r="Y24" i="11" s="1"/>
  <c r="K31" i="11" s="1"/>
  <c r="E25" i="11"/>
  <c r="T24" i="11"/>
  <c r="AA24" i="11" s="1"/>
  <c r="M31" i="11" s="1"/>
  <c r="Q23" i="11"/>
  <c r="X23" i="11" s="1"/>
  <c r="J30" i="11" s="1"/>
  <c r="U24" i="11"/>
  <c r="AB24" i="11" s="1"/>
  <c r="N31" i="11" s="1"/>
  <c r="B32" i="11"/>
  <c r="R23" i="11"/>
  <c r="Y23" i="11" s="1"/>
  <c r="K30" i="11" s="1"/>
  <c r="B31" i="11"/>
  <c r="B59" i="11" s="1"/>
  <c r="C32" i="11"/>
  <c r="K32" i="11" s="1"/>
  <c r="T23" i="11"/>
  <c r="AA23" i="11" s="1"/>
  <c r="M30" i="11" s="1"/>
  <c r="C30" i="11"/>
  <c r="D31" i="11"/>
  <c r="E32" i="11"/>
  <c r="U23" i="11"/>
  <c r="AB23" i="11" s="1"/>
  <c r="N30" i="11" s="1"/>
  <c r="Q25" i="11"/>
  <c r="X25" i="11" s="1"/>
  <c r="D30" i="11"/>
  <c r="E31" i="11"/>
  <c r="F32" i="11"/>
  <c r="Z24" i="10"/>
  <c r="Z25" i="10"/>
  <c r="L32" i="10" s="1"/>
  <c r="AA25" i="10"/>
  <c r="M32" i="10" s="1"/>
  <c r="M31" i="10"/>
  <c r="AB25" i="10"/>
  <c r="N32" i="10" s="1"/>
  <c r="X24" i="10"/>
  <c r="J31" i="10" s="1"/>
  <c r="A70" i="10"/>
  <c r="A71" i="10" s="1"/>
  <c r="B71" i="10" s="1"/>
  <c r="G18" i="10"/>
  <c r="I57" i="10"/>
  <c r="A68" i="10"/>
  <c r="G16" i="10"/>
  <c r="G17" i="10"/>
  <c r="A69" i="10"/>
  <c r="B32" i="10"/>
  <c r="B61" i="10"/>
  <c r="R23" i="10"/>
  <c r="Y23" i="10" s="1"/>
  <c r="K30" i="10" s="1"/>
  <c r="B31" i="10"/>
  <c r="C32" i="10"/>
  <c r="F61" i="10"/>
  <c r="S23" i="10"/>
  <c r="Z23" i="10" s="1"/>
  <c r="B30" i="10"/>
  <c r="J30" i="10" s="1"/>
  <c r="C31" i="10"/>
  <c r="K31" i="10" s="1"/>
  <c r="D32" i="10"/>
  <c r="I55" i="10"/>
  <c r="T23" i="10"/>
  <c r="AA23" i="10" s="1"/>
  <c r="M30" i="10" s="1"/>
  <c r="C30" i="10"/>
  <c r="D31" i="10"/>
  <c r="E32" i="10"/>
  <c r="U23" i="10"/>
  <c r="AB23" i="10" s="1"/>
  <c r="N30" i="10" s="1"/>
  <c r="Q25" i="10"/>
  <c r="X25" i="10" s="1"/>
  <c r="J32" i="10" s="1"/>
  <c r="D30" i="10"/>
  <c r="E31" i="10"/>
  <c r="F32" i="10"/>
  <c r="E56" i="10"/>
  <c r="R25" i="10"/>
  <c r="Y25" i="10" s="1"/>
  <c r="E30" i="10"/>
  <c r="F31" i="10"/>
  <c r="N31" i="10" s="1"/>
  <c r="X24" i="9"/>
  <c r="Z24" i="9"/>
  <c r="AA24" i="9"/>
  <c r="Z25" i="9"/>
  <c r="L32" i="9" s="1"/>
  <c r="J30" i="9"/>
  <c r="AA25" i="9"/>
  <c r="M32" i="9" s="1"/>
  <c r="AB24" i="9"/>
  <c r="N31" i="9" s="1"/>
  <c r="AB25" i="9"/>
  <c r="N32" i="9" s="1"/>
  <c r="G18" i="9"/>
  <c r="G16" i="9"/>
  <c r="G17" i="9"/>
  <c r="R24" i="9"/>
  <c r="Y24" i="9" s="1"/>
  <c r="E25" i="9"/>
  <c r="B58" i="9"/>
  <c r="A67" i="9"/>
  <c r="A65" i="9"/>
  <c r="R23" i="9"/>
  <c r="Y23" i="9" s="1"/>
  <c r="K30" i="9" s="1"/>
  <c r="B31" i="9"/>
  <c r="C32" i="9"/>
  <c r="E53" i="9"/>
  <c r="F58" i="9" s="1"/>
  <c r="H59" i="9"/>
  <c r="S23" i="9"/>
  <c r="Z23" i="9" s="1"/>
  <c r="B30" i="9"/>
  <c r="C31" i="9"/>
  <c r="D32" i="9"/>
  <c r="T23" i="9"/>
  <c r="AA23" i="9" s="1"/>
  <c r="C30" i="9"/>
  <c r="D31" i="9"/>
  <c r="E32" i="9"/>
  <c r="U23" i="9"/>
  <c r="AB23" i="9" s="1"/>
  <c r="N30" i="9" s="1"/>
  <c r="Q25" i="9"/>
  <c r="X25" i="9" s="1"/>
  <c r="J32" i="9" s="1"/>
  <c r="D30" i="9"/>
  <c r="E31" i="9"/>
  <c r="F32" i="9"/>
  <c r="E54" i="9"/>
  <c r="H60" i="9"/>
  <c r="R25" i="9"/>
  <c r="Y25" i="9" s="1"/>
  <c r="E30" i="9"/>
  <c r="F31" i="9"/>
  <c r="D31" i="7"/>
  <c r="B51" i="7"/>
  <c r="B57" i="7" s="1"/>
  <c r="F31" i="7"/>
  <c r="R25" i="7"/>
  <c r="B32" i="7"/>
  <c r="L23" i="7"/>
  <c r="S25" i="7"/>
  <c r="D32" i="7"/>
  <c r="E32" i="7"/>
  <c r="G18" i="7"/>
  <c r="C25" i="7"/>
  <c r="C30" i="7"/>
  <c r="E56" i="7"/>
  <c r="B30" i="7"/>
  <c r="N25" i="7"/>
  <c r="B62" i="7"/>
  <c r="B24" i="7"/>
  <c r="D25" i="7"/>
  <c r="Z25" i="7" s="1"/>
  <c r="L32" i="7" s="1"/>
  <c r="U23" i="7"/>
  <c r="AB23" i="7" s="1"/>
  <c r="N30" i="7" s="1"/>
  <c r="D30" i="7"/>
  <c r="I56" i="7"/>
  <c r="B50" i="7"/>
  <c r="B56" i="7" s="1"/>
  <c r="F61" i="7" s="1"/>
  <c r="C24" i="7"/>
  <c r="E25" i="7"/>
  <c r="AA25" i="7" s="1"/>
  <c r="M32" i="7" s="1"/>
  <c r="E30" i="7"/>
  <c r="E57" i="7"/>
  <c r="A67" i="7"/>
  <c r="A70" i="7" s="1"/>
  <c r="A71" i="7" s="1"/>
  <c r="B71" i="7" s="1"/>
  <c r="Q24" i="7"/>
  <c r="U25" i="7"/>
  <c r="I57" i="7"/>
  <c r="G16" i="7"/>
  <c r="G17" i="7"/>
  <c r="R24" i="7"/>
  <c r="Y24" i="7" s="1"/>
  <c r="K31" i="7" s="1"/>
  <c r="S24" i="7"/>
  <c r="Z24" i="7" s="1"/>
  <c r="T24" i="7"/>
  <c r="AA24" i="7" s="1"/>
  <c r="M31" i="7" s="1"/>
  <c r="J25" i="7"/>
  <c r="X25" i="7" s="1"/>
  <c r="Q23" i="7"/>
  <c r="X23" i="7" s="1"/>
  <c r="J30" i="7" s="1"/>
  <c r="U24" i="7"/>
  <c r="K25" i="7"/>
  <c r="B61" i="7"/>
  <c r="R23" i="7"/>
  <c r="Y23" i="7" s="1"/>
  <c r="B31" i="7"/>
  <c r="E55" i="7"/>
  <c r="S23" i="7"/>
  <c r="Z23" i="7" s="1"/>
  <c r="L30" i="7" s="1"/>
  <c r="F24" i="7"/>
  <c r="T23" i="7"/>
  <c r="AA23" i="7" s="1"/>
  <c r="M30" i="7" s="1"/>
  <c r="J24" i="7"/>
  <c r="B48" i="6"/>
  <c r="B54" i="6" s="1"/>
  <c r="F59" i="6" s="1"/>
  <c r="B47" i="6"/>
  <c r="B53" i="6" s="1"/>
  <c r="B49" i="6"/>
  <c r="B55" i="6" s="1"/>
  <c r="F60" i="6" s="1"/>
  <c r="Z24" i="6"/>
  <c r="AA25" i="6"/>
  <c r="M32" i="6" s="1"/>
  <c r="AB23" i="6"/>
  <c r="N30" i="6" s="1"/>
  <c r="X24" i="6"/>
  <c r="G16" i="6"/>
  <c r="G17" i="6"/>
  <c r="L23" i="6"/>
  <c r="R24" i="6"/>
  <c r="E25" i="6"/>
  <c r="A67" i="6"/>
  <c r="A68" i="6" s="1"/>
  <c r="A69" i="6" s="1"/>
  <c r="B69" i="6" s="1"/>
  <c r="T24" i="6"/>
  <c r="AA24" i="6" s="1"/>
  <c r="M31" i="6" s="1"/>
  <c r="J25" i="6"/>
  <c r="X25" i="6" s="1"/>
  <c r="J32" i="6" s="1"/>
  <c r="Q23" i="6"/>
  <c r="X23" i="6" s="1"/>
  <c r="J30" i="6" s="1"/>
  <c r="U24" i="6"/>
  <c r="AB24" i="6" s="1"/>
  <c r="N31" i="6" s="1"/>
  <c r="B32" i="6"/>
  <c r="B59" i="6"/>
  <c r="C24" i="6"/>
  <c r="R23" i="6"/>
  <c r="Y23" i="6" s="1"/>
  <c r="B31" i="6"/>
  <c r="C32" i="6"/>
  <c r="N23" i="6"/>
  <c r="S23" i="6"/>
  <c r="M25" i="6"/>
  <c r="B30" i="6"/>
  <c r="C31" i="6"/>
  <c r="D32" i="6"/>
  <c r="I53" i="6"/>
  <c r="T23" i="6"/>
  <c r="AA23" i="6" s="1"/>
  <c r="M30" i="6" s="1"/>
  <c r="N25" i="6"/>
  <c r="AB25" i="6" s="1"/>
  <c r="N32" i="6" s="1"/>
  <c r="C30" i="6"/>
  <c r="D31" i="6"/>
  <c r="E32" i="6"/>
  <c r="B60" i="6"/>
  <c r="R25" i="6"/>
  <c r="Y25" i="6" s="1"/>
  <c r="K32" i="6" s="1"/>
  <c r="E30" i="6"/>
  <c r="F31" i="6"/>
  <c r="S25" i="6"/>
  <c r="Z25" i="6" s="1"/>
  <c r="L32" i="6" s="1"/>
  <c r="B49" i="5"/>
  <c r="B55" i="5" s="1"/>
  <c r="F60" i="5" s="1"/>
  <c r="AA25" i="5"/>
  <c r="M32" i="5" s="1"/>
  <c r="AB25" i="5"/>
  <c r="N32" i="5" s="1"/>
  <c r="A68" i="5"/>
  <c r="A69" i="5" s="1"/>
  <c r="B69" i="5" s="1"/>
  <c r="X24" i="5"/>
  <c r="J31" i="5" s="1"/>
  <c r="Y25" i="5"/>
  <c r="G17" i="5"/>
  <c r="R24" i="5"/>
  <c r="Y24" i="5" s="1"/>
  <c r="K31" i="5" s="1"/>
  <c r="A67" i="5"/>
  <c r="G18" i="5"/>
  <c r="S24" i="5"/>
  <c r="Z24" i="5" s="1"/>
  <c r="T24" i="5"/>
  <c r="AA24" i="5" s="1"/>
  <c r="M31" i="5" s="1"/>
  <c r="Q23" i="5"/>
  <c r="X23" i="5" s="1"/>
  <c r="J30" i="5" s="1"/>
  <c r="U24" i="5"/>
  <c r="AB24" i="5" s="1"/>
  <c r="N31" i="5" s="1"/>
  <c r="B32" i="5"/>
  <c r="B59" i="5"/>
  <c r="H59" i="5" s="1"/>
  <c r="R23" i="5"/>
  <c r="Y23" i="5" s="1"/>
  <c r="B31" i="5"/>
  <c r="C32" i="5"/>
  <c r="E53" i="5"/>
  <c r="F59" i="5"/>
  <c r="B23" i="5"/>
  <c r="S23" i="5"/>
  <c r="Z23" i="5" s="1"/>
  <c r="L30" i="5" s="1"/>
  <c r="M25" i="5"/>
  <c r="I53" i="5"/>
  <c r="F58" i="5" s="1"/>
  <c r="H58" i="5" s="1"/>
  <c r="T23" i="5"/>
  <c r="AA23" i="5" s="1"/>
  <c r="M30" i="5" s="1"/>
  <c r="C30" i="5"/>
  <c r="D31" i="5"/>
  <c r="E32" i="5"/>
  <c r="B60" i="5"/>
  <c r="U23" i="5"/>
  <c r="AB23" i="5" s="1"/>
  <c r="N30" i="5" s="1"/>
  <c r="Q25" i="5"/>
  <c r="X25" i="5" s="1"/>
  <c r="D30" i="5"/>
  <c r="E31" i="5"/>
  <c r="F32" i="5"/>
  <c r="S25" i="5"/>
  <c r="Z25" i="5" s="1"/>
  <c r="L32" i="5" s="1"/>
  <c r="R23" i="4"/>
  <c r="E24" i="4"/>
  <c r="L25" i="4"/>
  <c r="F59" i="4"/>
  <c r="H59" i="4" s="1"/>
  <c r="B23" i="4"/>
  <c r="S23" i="4"/>
  <c r="I53" i="4"/>
  <c r="J24" i="4"/>
  <c r="K24" i="4"/>
  <c r="R25" i="4"/>
  <c r="Y25" i="4" s="1"/>
  <c r="K32" i="4" s="1"/>
  <c r="E30" i="4"/>
  <c r="J23" i="4"/>
  <c r="T25" i="4"/>
  <c r="AA25" i="4" s="1"/>
  <c r="M32" i="4" s="1"/>
  <c r="T23" i="4"/>
  <c r="AA23" i="4" s="1"/>
  <c r="M30" i="4" s="1"/>
  <c r="N25" i="4"/>
  <c r="U23" i="4"/>
  <c r="F23" i="4"/>
  <c r="S25" i="4"/>
  <c r="Z25" i="4" s="1"/>
  <c r="L32" i="4" s="1"/>
  <c r="K23" i="4"/>
  <c r="U25" i="4"/>
  <c r="B58" i="4"/>
  <c r="B25" i="4"/>
  <c r="Q24" i="4"/>
  <c r="I55" i="4"/>
  <c r="F60" i="4" s="1"/>
  <c r="G17" i="4"/>
  <c r="R24" i="4"/>
  <c r="Y24" i="4" s="1"/>
  <c r="K31" i="4" s="1"/>
  <c r="S24" i="4"/>
  <c r="Z24" i="4" s="1"/>
  <c r="L31" i="4" s="1"/>
  <c r="C23" i="4"/>
  <c r="B60" i="4"/>
  <c r="D23" i="4"/>
  <c r="Q25" i="4"/>
  <c r="D25" i="4"/>
  <c r="T24" i="4"/>
  <c r="AA24" i="4" s="1"/>
  <c r="M31" i="4" s="1"/>
  <c r="Q23" i="4"/>
  <c r="D24" i="4"/>
  <c r="U24" i="4"/>
  <c r="AB24" i="4" s="1"/>
  <c r="N31" i="4" s="1"/>
  <c r="X23" i="4" l="1"/>
  <c r="J30" i="4" s="1"/>
  <c r="F62" i="12"/>
  <c r="H62" i="12" s="1"/>
  <c r="O30" i="13"/>
  <c r="H60" i="13"/>
  <c r="L30" i="13"/>
  <c r="B59" i="13"/>
  <c r="H58" i="13"/>
  <c r="J31" i="13"/>
  <c r="F59" i="13"/>
  <c r="M31" i="13"/>
  <c r="M30" i="13"/>
  <c r="J32" i="13"/>
  <c r="F60" i="13"/>
  <c r="K32" i="13"/>
  <c r="B77" i="13"/>
  <c r="O31" i="12"/>
  <c r="B77" i="12"/>
  <c r="B76" i="12"/>
  <c r="B75" i="12"/>
  <c r="B60" i="12"/>
  <c r="H60" i="12" s="1"/>
  <c r="M30" i="12"/>
  <c r="H61" i="12"/>
  <c r="N31" i="12"/>
  <c r="F60" i="12"/>
  <c r="J30" i="12"/>
  <c r="O30" i="12" s="1"/>
  <c r="J32" i="12"/>
  <c r="O32" i="12" s="1"/>
  <c r="H59" i="11"/>
  <c r="H61" i="11" s="1"/>
  <c r="B60" i="11"/>
  <c r="H60" i="11" s="1"/>
  <c r="L30" i="11"/>
  <c r="O30" i="11" s="1"/>
  <c r="O33" i="11" s="1"/>
  <c r="J32" i="11"/>
  <c r="O32" i="11" s="1"/>
  <c r="F60" i="11"/>
  <c r="F59" i="11"/>
  <c r="B77" i="10"/>
  <c r="B76" i="10"/>
  <c r="B75" i="10"/>
  <c r="B79" i="10" s="1"/>
  <c r="F60" i="10"/>
  <c r="K32" i="10"/>
  <c r="O32" i="10" s="1"/>
  <c r="B60" i="10"/>
  <c r="H60" i="10" s="1"/>
  <c r="L31" i="10"/>
  <c r="O31" i="10" s="1"/>
  <c r="H61" i="10"/>
  <c r="L30" i="10"/>
  <c r="O30" i="10" s="1"/>
  <c r="O33" i="10" s="1"/>
  <c r="A68" i="9"/>
  <c r="A69" i="9" s="1"/>
  <c r="B69" i="9" s="1"/>
  <c r="B74" i="9" s="1"/>
  <c r="M31" i="9"/>
  <c r="M30" i="9"/>
  <c r="H58" i="9"/>
  <c r="H61" i="9" s="1"/>
  <c r="K32" i="9"/>
  <c r="K31" i="9"/>
  <c r="L31" i="9"/>
  <c r="J31" i="9"/>
  <c r="O31" i="9" s="1"/>
  <c r="O32" i="9"/>
  <c r="L30" i="9"/>
  <c r="O30" i="9" s="1"/>
  <c r="O33" i="9" s="1"/>
  <c r="F62" i="7"/>
  <c r="H62" i="7" s="1"/>
  <c r="J32" i="7"/>
  <c r="L31" i="7"/>
  <c r="K30" i="7"/>
  <c r="O30" i="7" s="1"/>
  <c r="AB25" i="7"/>
  <c r="N32" i="7" s="1"/>
  <c r="Y25" i="7"/>
  <c r="K32" i="7" s="1"/>
  <c r="AB24" i="7"/>
  <c r="N31" i="7" s="1"/>
  <c r="X24" i="7"/>
  <c r="J31" i="7" s="1"/>
  <c r="H61" i="7"/>
  <c r="B76" i="7"/>
  <c r="B77" i="7"/>
  <c r="B75" i="7"/>
  <c r="H60" i="7"/>
  <c r="H59" i="6"/>
  <c r="F58" i="6"/>
  <c r="H58" i="6" s="1"/>
  <c r="B75" i="6"/>
  <c r="B74" i="6"/>
  <c r="B73" i="6"/>
  <c r="B77" i="6" s="1"/>
  <c r="O32" i="6"/>
  <c r="J31" i="6"/>
  <c r="H60" i="6"/>
  <c r="K30" i="6"/>
  <c r="Z23" i="6"/>
  <c r="L30" i="6" s="1"/>
  <c r="O30" i="6" s="1"/>
  <c r="Y24" i="6"/>
  <c r="K31" i="6" s="1"/>
  <c r="L31" i="6"/>
  <c r="B75" i="5"/>
  <c r="B74" i="5"/>
  <c r="B73" i="5"/>
  <c r="B77" i="5" s="1"/>
  <c r="L31" i="5"/>
  <c r="O31" i="5" s="1"/>
  <c r="H60" i="5"/>
  <c r="H61" i="5" s="1"/>
  <c r="J32" i="5"/>
  <c r="K30" i="5"/>
  <c r="O30" i="5" s="1"/>
  <c r="K32" i="5"/>
  <c r="H60" i="4"/>
  <c r="Z23" i="4"/>
  <c r="L30" i="4" s="1"/>
  <c r="AB23" i="4"/>
  <c r="N30" i="4" s="1"/>
  <c r="Y23" i="4"/>
  <c r="K30" i="4" s="1"/>
  <c r="X24" i="4"/>
  <c r="J31" i="4" s="1"/>
  <c r="H58" i="4"/>
  <c r="X25" i="4"/>
  <c r="J32" i="4" s="1"/>
  <c r="AB25" i="4"/>
  <c r="N32" i="4" s="1"/>
  <c r="O30" i="4" l="1"/>
  <c r="H63" i="12"/>
  <c r="O32" i="13"/>
  <c r="O33" i="13" s="1"/>
  <c r="O31" i="13"/>
  <c r="H59" i="13"/>
  <c r="H61" i="13" s="1"/>
  <c r="O33" i="12"/>
  <c r="D75" i="12" s="1"/>
  <c r="B79" i="12"/>
  <c r="D73" i="11"/>
  <c r="D76" i="11" s="1"/>
  <c r="H63" i="10"/>
  <c r="D75" i="10" s="1"/>
  <c r="D78" i="10" s="1"/>
  <c r="B75" i="9"/>
  <c r="B77" i="9" s="1"/>
  <c r="B73" i="9"/>
  <c r="D73" i="9"/>
  <c r="O32" i="7"/>
  <c r="B79" i="7"/>
  <c r="O31" i="7"/>
  <c r="H63" i="7"/>
  <c r="O33" i="7"/>
  <c r="H61" i="6"/>
  <c r="O33" i="6"/>
  <c r="O31" i="6"/>
  <c r="O32" i="5"/>
  <c r="O33" i="5" s="1"/>
  <c r="D73" i="5" s="1"/>
  <c r="D76" i="5" s="1"/>
  <c r="H61" i="4"/>
  <c r="O32" i="4"/>
  <c r="O33" i="4" l="1"/>
  <c r="D73" i="4" s="1"/>
  <c r="D76" i="4" s="1"/>
  <c r="D78" i="12"/>
  <c r="D73" i="13"/>
  <c r="D76" i="13" s="1"/>
  <c r="D76" i="9"/>
  <c r="D75" i="7"/>
  <c r="D78" i="7" s="1"/>
  <c r="D73" i="6"/>
  <c r="D76" i="6" s="1"/>
</calcChain>
</file>

<file path=xl/sharedStrings.xml><?xml version="1.0" encoding="utf-8"?>
<sst xmlns="http://schemas.openxmlformats.org/spreadsheetml/2006/main" count="1931" uniqueCount="109">
  <si>
    <t>Region 1</t>
  </si>
  <si>
    <t>Region 2</t>
  </si>
  <si>
    <t>Region 3</t>
  </si>
  <si>
    <t>Region 4</t>
  </si>
  <si>
    <t>Region 5</t>
  </si>
  <si>
    <t>Part 1 Mean</t>
  </si>
  <si>
    <t>Part 1 Std Dev</t>
  </si>
  <si>
    <t>Part 3 Mean</t>
  </si>
  <si>
    <t>Part 3 Std Dev</t>
  </si>
  <si>
    <t>Part 7 Mean</t>
  </si>
  <si>
    <t>Part 7 Std Dev</t>
  </si>
  <si>
    <t>NDC Aggregate S.D.</t>
  </si>
  <si>
    <t>Part 1</t>
  </si>
  <si>
    <t>Part 3</t>
  </si>
  <si>
    <t>Part 7</t>
  </si>
  <si>
    <t>Part 1 Variance</t>
  </si>
  <si>
    <t>Part 3 Variance</t>
  </si>
  <si>
    <t>Part 7 Variance</t>
  </si>
  <si>
    <t>Correlation Coefficient</t>
  </si>
  <si>
    <t>Safety Stock Level in Current Scenario</t>
  </si>
  <si>
    <t>Total Safety Stock</t>
  </si>
  <si>
    <t>Reorder Interval</t>
  </si>
  <si>
    <t>days</t>
  </si>
  <si>
    <t>Replenishment Lead Time</t>
  </si>
  <si>
    <t>T</t>
  </si>
  <si>
    <t>L</t>
  </si>
  <si>
    <r>
      <t xml:space="preserve">SS = </t>
    </r>
    <r>
      <rPr>
        <sz val="11"/>
        <color theme="1"/>
        <rFont val="Calibri"/>
        <family val="2"/>
      </rPr>
      <t>Φ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(CSL)*SQRT(T+L)*</t>
    </r>
    <r>
      <rPr>
        <sz val="11"/>
        <color theme="1"/>
        <rFont val="Calibri"/>
        <family val="2"/>
      </rPr>
      <t>σ</t>
    </r>
    <r>
      <rPr>
        <vertAlign val="subscript"/>
        <sz val="11"/>
        <color theme="1"/>
        <rFont val="Calibri"/>
        <family val="2"/>
      </rPr>
      <t>part</t>
    </r>
    <r>
      <rPr>
        <sz val="11"/>
        <color theme="1"/>
        <rFont val="Calibri"/>
        <family val="2"/>
        <scheme val="minor"/>
      </rPr>
      <t xml:space="preserve"> </t>
    </r>
  </si>
  <si>
    <t>Covariance</t>
  </si>
  <si>
    <r>
      <t xml:space="preserve">Cov i,j = </t>
    </r>
    <r>
      <rPr>
        <sz val="11"/>
        <color theme="1"/>
        <rFont val="Calibri"/>
        <family val="2"/>
      </rPr>
      <t>ρ</t>
    </r>
    <r>
      <rPr>
        <vertAlign val="subscript"/>
        <sz val="11"/>
        <color theme="1"/>
        <rFont val="Calibri"/>
        <family val="2"/>
      </rPr>
      <t>ij</t>
    </r>
    <r>
      <rPr>
        <sz val="14.3"/>
        <color theme="1"/>
        <rFont val="Calibri"/>
        <family val="2"/>
      </rPr>
      <t>σ</t>
    </r>
    <r>
      <rPr>
        <vertAlign val="subscript"/>
        <sz val="14.3"/>
        <color theme="1"/>
        <rFont val="Calibri"/>
        <family val="2"/>
      </rPr>
      <t>i</t>
    </r>
    <r>
      <rPr>
        <sz val="14.3"/>
        <color theme="1"/>
        <rFont val="Calibri"/>
        <family val="2"/>
      </rPr>
      <t>σ</t>
    </r>
    <r>
      <rPr>
        <vertAlign val="subscript"/>
        <sz val="14.3"/>
        <color theme="1"/>
        <rFont val="Calibri"/>
        <family val="2"/>
      </rPr>
      <t>j</t>
    </r>
  </si>
  <si>
    <t>Assumption!!!</t>
  </si>
  <si>
    <t>Average Cycle Inventory in Current Scenario</t>
  </si>
  <si>
    <t>Total Holding Cost per day</t>
  </si>
  <si>
    <t>National Distribution Center Case</t>
  </si>
  <si>
    <t>Computation of Holding Cost</t>
  </si>
  <si>
    <t>Computation of Transportation Cost</t>
  </si>
  <si>
    <t>Transportation Cost of Part 1 per day based on average daily demand</t>
  </si>
  <si>
    <t>Annual Holding Cost</t>
  </si>
  <si>
    <t>h</t>
  </si>
  <si>
    <t>per unit year</t>
  </si>
  <si>
    <r>
      <t>Qavg = Q</t>
    </r>
    <r>
      <rPr>
        <vertAlign val="subscript"/>
        <sz val="11"/>
        <color theme="1"/>
        <rFont val="Calibri"/>
        <family val="2"/>
        <scheme val="minor"/>
      </rPr>
      <t>part</t>
    </r>
    <r>
      <rPr>
        <sz val="11"/>
        <color theme="1"/>
        <rFont val="Calibri"/>
        <family val="2"/>
        <scheme val="minor"/>
      </rPr>
      <t>/2 = (</t>
    </r>
    <r>
      <rPr>
        <sz val="11"/>
        <color theme="1"/>
        <rFont val="Calibri"/>
        <family val="2"/>
      </rPr>
      <t>μ</t>
    </r>
    <r>
      <rPr>
        <vertAlign val="subscript"/>
        <sz val="11"/>
        <color theme="1"/>
        <rFont val="Calibri"/>
        <family val="2"/>
      </rPr>
      <t>part</t>
    </r>
    <r>
      <rPr>
        <strike/>
        <sz val="11"/>
        <color theme="1"/>
        <rFont val="Calibri"/>
        <family val="2"/>
      </rPr>
      <t xml:space="preserve"> </t>
    </r>
    <r>
      <rPr>
        <sz val="14.3"/>
        <color theme="1"/>
        <rFont val="Calibri"/>
        <family val="2"/>
      </rPr>
      <t>*T)/2</t>
    </r>
  </si>
  <si>
    <t>Assumptions</t>
  </si>
  <si>
    <t>Whatever is the demand at the DC is being ordered to the factory</t>
  </si>
  <si>
    <r>
      <t>(365/T)*μ</t>
    </r>
    <r>
      <rPr>
        <vertAlign val="subscript"/>
        <sz val="11"/>
        <color theme="1"/>
        <rFont val="Calibri"/>
        <family val="2"/>
        <scheme val="minor"/>
      </rPr>
      <t>part</t>
    </r>
    <r>
      <rPr>
        <sz val="11"/>
        <color theme="1"/>
        <rFont val="Calibri"/>
        <family val="2"/>
        <scheme val="minor"/>
      </rPr>
      <t>*Transit Time</t>
    </r>
  </si>
  <si>
    <t>Holding Cost of Average Cycle Inventory in Current Scenario</t>
  </si>
  <si>
    <t>Holding Cost of In-transit Inventory</t>
  </si>
  <si>
    <t>Average Cycle Inventoryx Holding Cost per year</t>
  </si>
  <si>
    <t>Holding Cost for Safety Stock Level</t>
  </si>
  <si>
    <t>Total Holding Cost</t>
  </si>
  <si>
    <t>Assuming that Inflow  = Outflow, transport costs can be combined.</t>
  </si>
  <si>
    <t>Inbound Transportation Cost</t>
  </si>
  <si>
    <t>Outbound Transportation Cost</t>
  </si>
  <si>
    <t>Total Transportation Cost</t>
  </si>
  <si>
    <t>TL</t>
  </si>
  <si>
    <t>LTL</t>
  </si>
  <si>
    <t>per unit</t>
  </si>
  <si>
    <t>Demand per Cycle x No. of Cycles per year x Unit Cost</t>
  </si>
  <si>
    <t>Total Cost per Product Type (Holding + Transportation)</t>
  </si>
  <si>
    <t>Total Cost</t>
  </si>
  <si>
    <t>No. of High Volume Product</t>
  </si>
  <si>
    <t>No. of Medium Volume Product</t>
  </si>
  <si>
    <t>No. of Low Volume Product</t>
  </si>
  <si>
    <t>Total Cost of Scenario 1</t>
  </si>
  <si>
    <t>SS*365*h</t>
  </si>
  <si>
    <t>NDC Aggregate Demand</t>
  </si>
  <si>
    <t>Safety Stock@NDC</t>
  </si>
  <si>
    <t>Average Cycle Inventory @NDC</t>
  </si>
  <si>
    <t>Total NDC Scenario Cost</t>
  </si>
  <si>
    <t>Scenario 2 Unit Transportation Cost</t>
  </si>
  <si>
    <t>Scenario 2 Unit Inbound Transportation Cost</t>
  </si>
  <si>
    <t>Scenario 2 Unit Outbound Transportation Cost</t>
  </si>
  <si>
    <t>S.D. of Aggregate Demand</t>
  </si>
  <si>
    <r>
      <t>Qavg = Q</t>
    </r>
    <r>
      <rPr>
        <vertAlign val="subscript"/>
        <sz val="11"/>
        <color theme="1"/>
        <rFont val="Calibri"/>
        <family val="2"/>
        <scheme val="minor"/>
      </rPr>
      <t>part</t>
    </r>
    <r>
      <rPr>
        <sz val="11"/>
        <color theme="1"/>
        <rFont val="Calibri"/>
        <family val="2"/>
        <scheme val="minor"/>
      </rPr>
      <t>/2 = (</t>
    </r>
    <r>
      <rPr>
        <sz val="11"/>
        <color theme="1"/>
        <rFont val="Calibri"/>
        <family val="2"/>
      </rPr>
      <t>μ</t>
    </r>
    <r>
      <rPr>
        <vertAlign val="subscript"/>
        <sz val="11"/>
        <color theme="1"/>
        <rFont val="Calibri"/>
        <family val="2"/>
      </rPr>
      <t xml:space="preserve">part </t>
    </r>
    <r>
      <rPr>
        <sz val="14.3"/>
        <color theme="1"/>
        <rFont val="Calibri"/>
        <family val="2"/>
      </rPr>
      <t>*T)/2</t>
    </r>
  </si>
  <si>
    <t>Transit Timefor DCs</t>
  </si>
  <si>
    <t>Transit Time for NDCs</t>
  </si>
  <si>
    <t>Since NDC is closer to factory, the time for transportation of goods is assumed to be lesser @3 days. However, since the quantity stored at the NDC is more, the paperwork takes two days, which is why the replenishment lead time is still 5 days.</t>
  </si>
  <si>
    <t xml:space="preserve">Part </t>
  </si>
  <si>
    <t>Part</t>
  </si>
  <si>
    <t>Total Cost (All 100 Parts)</t>
  </si>
  <si>
    <t>No. of Units Sold per Year</t>
  </si>
  <si>
    <t>Construction Cost in Dollars</t>
  </si>
  <si>
    <t>Cash Flow</t>
  </si>
  <si>
    <t>Year</t>
  </si>
  <si>
    <t>NPV</t>
  </si>
  <si>
    <t>Warehouse is ready at end of year 2.</t>
  </si>
  <si>
    <t>NDC Construction Amount</t>
  </si>
  <si>
    <t>Salvage value of 50k is at the end of year 3.</t>
  </si>
  <si>
    <t>In-transit Inventory Cost</t>
  </si>
  <si>
    <t>In-Transit Inventory Cost @NDC</t>
  </si>
  <si>
    <t>Reduction in Total Cost per year</t>
  </si>
  <si>
    <t>No. of years required to start benefiting out of NDC investment</t>
  </si>
  <si>
    <t>If we reduce the transit no. of days from factory to NDC from 3 to 2, we would take 5 years</t>
  </si>
  <si>
    <t>Interest rate</t>
  </si>
  <si>
    <t>If we reduce the transit no. of days from factory to NDC from 3 to 2, we would take 3 years</t>
  </si>
  <si>
    <t>the warehouse capacity was given in terms of the annual demand supplied from the warehouse</t>
  </si>
  <si>
    <t>If we reduce the transit no. of days from factory to NDC from 3 to 2, we would take 9 years</t>
  </si>
  <si>
    <t>We are not considering seasonality of the demand</t>
  </si>
  <si>
    <t>Unlikely to be true.</t>
  </si>
  <si>
    <t>Assumed normal, if not, then safety stock computation would change.</t>
  </si>
  <si>
    <t>Same transportation cost for all DC's (cost is independent of distance)</t>
  </si>
  <si>
    <t>No correlation between high &amp; low value products</t>
  </si>
  <si>
    <t>Total Demand</t>
  </si>
  <si>
    <r>
      <t xml:space="preserve">Cov i,j = </t>
    </r>
    <r>
      <rPr>
        <sz val="11"/>
        <color theme="3" tint="0.59999389629810485"/>
        <rFont val="Calibri"/>
        <family val="2"/>
      </rPr>
      <t>ρ</t>
    </r>
    <r>
      <rPr>
        <vertAlign val="subscript"/>
        <sz val="11"/>
        <color theme="3" tint="0.59999389629810485"/>
        <rFont val="Calibri"/>
        <family val="2"/>
      </rPr>
      <t>ij</t>
    </r>
    <r>
      <rPr>
        <sz val="14.3"/>
        <color theme="3" tint="0.59999389629810485"/>
        <rFont val="Calibri"/>
        <family val="2"/>
      </rPr>
      <t>σ</t>
    </r>
    <r>
      <rPr>
        <vertAlign val="subscript"/>
        <sz val="14.3"/>
        <color theme="3" tint="0.59999389629810485"/>
        <rFont val="Calibri"/>
        <family val="2"/>
      </rPr>
      <t>i</t>
    </r>
    <r>
      <rPr>
        <sz val="14.3"/>
        <color theme="3" tint="0.59999389629810485"/>
        <rFont val="Calibri"/>
        <family val="2"/>
      </rPr>
      <t>σ</t>
    </r>
    <r>
      <rPr>
        <vertAlign val="subscript"/>
        <sz val="14.3"/>
        <color theme="3" tint="0.59999389629810485"/>
        <rFont val="Calibri"/>
        <family val="2"/>
      </rPr>
      <t>j</t>
    </r>
  </si>
  <si>
    <t>Pooling LOW &amp; Medium values but not pooling High value items</t>
  </si>
  <si>
    <t>Observation</t>
  </si>
  <si>
    <t>For part 7 &amp; part 3 -- std.dev is too high as compared to mean, i.e. high co-efficient of variance, therefore, pooling these products have significant effect in reducing Safety Stock</t>
  </si>
  <si>
    <t>Part 1 has low CV --&gt; no benefit in pooling</t>
  </si>
  <si>
    <t>High Volume</t>
  </si>
  <si>
    <t>Medium Volume</t>
  </si>
  <si>
    <t>Low Volume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</si>
</sst>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2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4.3"/>
      <color theme="1"/>
      <name val="Calibri"/>
      <family val="2"/>
    </font>
    <font>
      <sz val="20"/>
      <color rgb="FF404040"/>
      <name val="Symbol"/>
      <family val="1"/>
      <charset val="2"/>
    </font>
    <font>
      <vertAlign val="super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</font>
    <font>
      <vertAlign val="subscript"/>
      <sz val="11"/>
      <color theme="1"/>
      <name val="Calibri"/>
      <family val="2"/>
      <scheme val="minor"/>
    </font>
    <font>
      <vertAlign val="subscript"/>
      <sz val="14.3"/>
      <color theme="1"/>
      <name val="Calibri"/>
      <family val="2"/>
    </font>
    <font>
      <b/>
      <sz val="11"/>
      <color rgb="FFFF0000"/>
      <name val="Calibri"/>
      <family val="2"/>
      <scheme val="minor"/>
    </font>
    <font>
      <strike/>
      <sz val="11"/>
      <color theme="1"/>
      <name val="Calibri"/>
      <family val="2"/>
    </font>
    <font>
      <b/>
      <sz val="11"/>
      <color theme="3" tint="0.59999389629810485"/>
      <name val="Calibri"/>
      <family val="2"/>
      <scheme val="minor"/>
    </font>
    <font>
      <sz val="11"/>
      <color theme="3" tint="0.59999389629810485"/>
      <name val="Calibri"/>
      <family val="2"/>
      <scheme val="minor"/>
    </font>
    <font>
      <sz val="11"/>
      <color theme="3" tint="0.59999389629810485"/>
      <name val="Calibri"/>
      <family val="2"/>
    </font>
    <font>
      <vertAlign val="subscript"/>
      <sz val="11"/>
      <color theme="3" tint="0.59999389629810485"/>
      <name val="Calibri"/>
      <family val="2"/>
    </font>
    <font>
      <sz val="14.3"/>
      <color theme="3" tint="0.59999389629810485"/>
      <name val="Calibri"/>
      <family val="2"/>
    </font>
    <font>
      <vertAlign val="subscript"/>
      <sz val="14.3"/>
      <color theme="3" tint="0.59999389629810485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0" fillId="0" borderId="2" xfId="0" applyBorder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0" fillId="2" borderId="0" xfId="0" applyFill="1"/>
    <xf numFmtId="0" fontId="4" fillId="0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2" fillId="2" borderId="2" xfId="0" applyFont="1" applyFill="1" applyBorder="1"/>
    <xf numFmtId="0" fontId="3" fillId="2" borderId="2" xfId="0" applyFont="1" applyFill="1" applyBorder="1" applyAlignment="1">
      <alignment horizontal="left" vertical="center" wrapText="1"/>
    </xf>
    <xf numFmtId="0" fontId="0" fillId="0" borderId="0" xfId="0" applyFill="1"/>
    <xf numFmtId="0" fontId="2" fillId="0" borderId="0" xfId="0" applyFont="1" applyFill="1"/>
    <xf numFmtId="0" fontId="3" fillId="2" borderId="3" xfId="0" applyFont="1" applyFill="1" applyBorder="1" applyAlignment="1">
      <alignment horizontal="center" vertical="center" wrapText="1"/>
    </xf>
    <xf numFmtId="0" fontId="2" fillId="0" borderId="2" xfId="0" applyFont="1" applyFill="1" applyBorder="1"/>
    <xf numFmtId="0" fontId="0" fillId="0" borderId="0" xfId="0" applyAlignment="1">
      <alignment horizontal="right"/>
    </xf>
    <xf numFmtId="0" fontId="0" fillId="0" borderId="2" xfId="0" applyFill="1" applyBorder="1"/>
    <xf numFmtId="0" fontId="7" fillId="0" borderId="0" xfId="0" applyFont="1"/>
    <xf numFmtId="0" fontId="0" fillId="3" borderId="0" xfId="0" applyFill="1"/>
    <xf numFmtId="0" fontId="12" fillId="0" borderId="0" xfId="0" applyFont="1"/>
    <xf numFmtId="0" fontId="0" fillId="0" borderId="0" xfId="0" applyFill="1" applyBorder="1"/>
    <xf numFmtId="44" fontId="0" fillId="3" borderId="0" xfId="0" applyNumberFormat="1" applyFill="1" applyBorder="1"/>
    <xf numFmtId="0" fontId="0" fillId="0" borderId="0" xfId="0" applyBorder="1"/>
    <xf numFmtId="0" fontId="2" fillId="0" borderId="0" xfId="0" applyFont="1" applyFill="1" applyBorder="1"/>
    <xf numFmtId="0" fontId="3" fillId="4" borderId="0" xfId="0" applyFont="1" applyFill="1" applyBorder="1" applyAlignment="1">
      <alignment horizontal="left" vertical="center"/>
    </xf>
    <xf numFmtId="0" fontId="0" fillId="4" borderId="0" xfId="0" applyFill="1"/>
    <xf numFmtId="0" fontId="12" fillId="5" borderId="0" xfId="0" applyFont="1" applyFill="1" applyBorder="1" applyAlignment="1">
      <alignment horizontal="left" vertical="center"/>
    </xf>
    <xf numFmtId="0" fontId="1" fillId="5" borderId="0" xfId="0" applyFont="1" applyFill="1"/>
    <xf numFmtId="44" fontId="0" fillId="0" borderId="0" xfId="0" applyNumberFormat="1"/>
    <xf numFmtId="44" fontId="0" fillId="0" borderId="2" xfId="0" applyNumberFormat="1" applyFill="1" applyBorder="1"/>
    <xf numFmtId="44" fontId="0" fillId="0" borderId="2" xfId="0" applyNumberFormat="1" applyBorder="1"/>
    <xf numFmtId="0" fontId="2" fillId="0" borderId="4" xfId="0" applyFont="1" applyFill="1" applyBorder="1"/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/>
    <xf numFmtId="0" fontId="3" fillId="2" borderId="0" xfId="0" applyFont="1" applyFill="1" applyBorder="1" applyAlignment="1">
      <alignment horizontal="right" vertical="center"/>
    </xf>
    <xf numFmtId="44" fontId="2" fillId="0" borderId="0" xfId="0" applyNumberFormat="1" applyFont="1"/>
    <xf numFmtId="0" fontId="0" fillId="0" borderId="0" xfId="0" applyAlignment="1">
      <alignment vertical="top" wrapText="1"/>
    </xf>
    <xf numFmtId="0" fontId="2" fillId="0" borderId="0" xfId="0" applyFont="1" applyFill="1" applyBorder="1" applyAlignment="1">
      <alignment horizontal="right"/>
    </xf>
    <xf numFmtId="0" fontId="2" fillId="2" borderId="0" xfId="0" applyFont="1" applyFill="1"/>
    <xf numFmtId="44" fontId="2" fillId="0" borderId="0" xfId="0" applyNumberFormat="1" applyFont="1" applyFill="1"/>
    <xf numFmtId="0" fontId="2" fillId="2" borderId="0" xfId="0" applyFont="1" applyFill="1" applyBorder="1"/>
    <xf numFmtId="0" fontId="2" fillId="0" borderId="2" xfId="0" applyFont="1" applyBorder="1"/>
    <xf numFmtId="44" fontId="2" fillId="0" borderId="5" xfId="0" applyNumberFormat="1" applyFont="1" applyBorder="1"/>
    <xf numFmtId="8" fontId="0" fillId="0" borderId="0" xfId="0" applyNumberFormat="1"/>
    <xf numFmtId="0" fontId="2" fillId="0" borderId="0" xfId="0" applyFont="1" applyAlignment="1">
      <alignment horizontal="right"/>
    </xf>
    <xf numFmtId="44" fontId="2" fillId="0" borderId="2" xfId="0" applyNumberFormat="1" applyFont="1" applyBorder="1"/>
    <xf numFmtId="44" fontId="2" fillId="0" borderId="0" xfId="0" applyNumberFormat="1" applyFont="1" applyBorder="1"/>
    <xf numFmtId="44" fontId="2" fillId="6" borderId="2" xfId="0" applyNumberFormat="1" applyFont="1" applyFill="1" applyBorder="1"/>
    <xf numFmtId="8" fontId="0" fillId="0" borderId="2" xfId="0" applyNumberFormat="1" applyBorder="1"/>
    <xf numFmtId="0" fontId="2" fillId="0" borderId="2" xfId="0" applyFont="1" applyBorder="1" applyAlignment="1">
      <alignment horizontal="right"/>
    </xf>
    <xf numFmtId="10" fontId="0" fillId="0" borderId="0" xfId="0" applyNumberFormat="1"/>
    <xf numFmtId="44" fontId="0" fillId="0" borderId="0" xfId="0" applyNumberFormat="1" applyFill="1" applyBorder="1"/>
    <xf numFmtId="0" fontId="14" fillId="0" borderId="0" xfId="0" applyFont="1" applyFill="1" applyBorder="1" applyAlignment="1">
      <alignment horizontal="left" vertical="center"/>
    </xf>
    <xf numFmtId="0" fontId="15" fillId="0" borderId="0" xfId="0" applyFont="1" applyFill="1"/>
    <xf numFmtId="0" fontId="15" fillId="0" borderId="0" xfId="0" applyFont="1"/>
    <xf numFmtId="0" fontId="14" fillId="2" borderId="0" xfId="0" applyFont="1" applyFill="1" applyBorder="1" applyAlignment="1">
      <alignment horizontal="left" vertical="center"/>
    </xf>
    <xf numFmtId="0" fontId="14" fillId="2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/>
    <xf numFmtId="0" fontId="4" fillId="7" borderId="0" xfId="0" applyFont="1" applyFill="1"/>
    <xf numFmtId="0" fontId="0" fillId="7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6.0076460950300385E-2"/>
          <c:y val="0.32240110395584182"/>
          <c:w val="0.93992353904969961"/>
          <c:h val="0.6735735137523633"/>
        </c:manualLayout>
      </c:layout>
      <c:pie3DChart>
        <c:varyColors val="1"/>
        <c:ser>
          <c:idx val="0"/>
          <c:order val="0"/>
          <c:tx>
            <c:strRef>
              <c:f>'Corr 0.5'!$O$29</c:f>
              <c:strCache>
                <c:ptCount val="1"/>
                <c:pt idx="0">
                  <c:v>Total Cost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'Corr 0.5'!$P$30:$P$32</c:f>
              <c:strCache>
                <c:ptCount val="3"/>
                <c:pt idx="0">
                  <c:v>High Volume</c:v>
                </c:pt>
                <c:pt idx="1">
                  <c:v>Medium Volume</c:v>
                </c:pt>
                <c:pt idx="2">
                  <c:v>Low Volume</c:v>
                </c:pt>
              </c:strCache>
            </c:strRef>
          </c:cat>
          <c:val>
            <c:numRef>
              <c:f>'Corr 0.5'!$O$30:$O$32</c:f>
              <c:numCache>
                <c:formatCode>_("$"* #,##0.00_);_("$"* \(#,##0.00\);_("$"* "-"??_);_(@_)</c:formatCode>
                <c:ptCount val="3"/>
                <c:pt idx="0">
                  <c:v>491221.90206211986</c:v>
                </c:pt>
                <c:pt idx="1">
                  <c:v>394976.67864814273</c:v>
                </c:pt>
                <c:pt idx="2">
                  <c:v>488497.03729124641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4305-4F10-B886-AF6DE11F9119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17584</xdr:colOff>
      <xdr:row>36</xdr:row>
      <xdr:rowOff>134815</xdr:rowOff>
    </xdr:from>
    <xdr:to>
      <xdr:col>3</xdr:col>
      <xdr:colOff>741484</xdr:colOff>
      <xdr:row>37</xdr:row>
      <xdr:rowOff>165295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ABAD8792-4F15-421C-AFCA-7F8E8D832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2624" y="7152835"/>
          <a:ext cx="1501140" cy="213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723313</xdr:colOff>
      <xdr:row>5</xdr:row>
      <xdr:rowOff>127197</xdr:rowOff>
    </xdr:from>
    <xdr:to>
      <xdr:col>21</xdr:col>
      <xdr:colOff>525780</xdr:colOff>
      <xdr:row>12</xdr:row>
      <xdr:rowOff>78689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AD7BE89E-00A7-4932-BFBA-F1A7300649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650893" y="1079697"/>
          <a:ext cx="4412567" cy="1391672"/>
        </a:xfrm>
        <a:prstGeom prst="rect">
          <a:avLst/>
        </a:prstGeom>
      </xdr:spPr>
    </xdr:pic>
    <xdr:clientData/>
  </xdr:twoCellAnchor>
  <xdr:twoCellAnchor editAs="oneCell">
    <xdr:from>
      <xdr:col>11</xdr:col>
      <xdr:colOff>175260</xdr:colOff>
      <xdr:row>45</xdr:row>
      <xdr:rowOff>45720</xdr:rowOff>
    </xdr:from>
    <xdr:to>
      <xdr:col>16</xdr:col>
      <xdr:colOff>221567</xdr:colOff>
      <xdr:row>51</xdr:row>
      <xdr:rowOff>286772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24CB2B02-E24A-4A3F-B631-7D3B81BED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736580" y="8793480"/>
          <a:ext cx="4412567" cy="1391672"/>
        </a:xfrm>
        <a:prstGeom prst="rect">
          <a:avLst/>
        </a:prstGeom>
      </xdr:spPr>
    </xdr:pic>
    <xdr:clientData/>
  </xdr:twoCellAnchor>
  <xdr:twoCellAnchor>
    <xdr:from>
      <xdr:col>17</xdr:col>
      <xdr:colOff>297180</xdr:colOff>
      <xdr:row>45</xdr:row>
      <xdr:rowOff>86360</xdr:rowOff>
    </xdr:from>
    <xdr:to>
      <xdr:col>22</xdr:col>
      <xdr:colOff>502920</xdr:colOff>
      <xdr:row>58</xdr:row>
      <xdr:rowOff>27940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xmlns="" id="{C26FCABA-0CEE-42AE-A35D-D0EE02BBA42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17584</xdr:colOff>
      <xdr:row>36</xdr:row>
      <xdr:rowOff>134815</xdr:rowOff>
    </xdr:from>
    <xdr:to>
      <xdr:col>3</xdr:col>
      <xdr:colOff>741484</xdr:colOff>
      <xdr:row>37</xdr:row>
      <xdr:rowOff>165295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81C5C6B9-ABCD-40A2-ADA9-B397DD443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2624" y="7152835"/>
          <a:ext cx="1501140" cy="213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723313</xdr:colOff>
      <xdr:row>5</xdr:row>
      <xdr:rowOff>127197</xdr:rowOff>
    </xdr:from>
    <xdr:to>
      <xdr:col>21</xdr:col>
      <xdr:colOff>525780</xdr:colOff>
      <xdr:row>12</xdr:row>
      <xdr:rowOff>78689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6095E14C-C31A-4A3C-A58F-16AE3383F0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650893" y="1079697"/>
          <a:ext cx="4412567" cy="1391672"/>
        </a:xfrm>
        <a:prstGeom prst="rect">
          <a:avLst/>
        </a:prstGeom>
      </xdr:spPr>
    </xdr:pic>
    <xdr:clientData/>
  </xdr:twoCellAnchor>
  <xdr:twoCellAnchor editAs="oneCell">
    <xdr:from>
      <xdr:col>10</xdr:col>
      <xdr:colOff>586740</xdr:colOff>
      <xdr:row>43</xdr:row>
      <xdr:rowOff>22860</xdr:rowOff>
    </xdr:from>
    <xdr:to>
      <xdr:col>15</xdr:col>
      <xdr:colOff>404447</xdr:colOff>
      <xdr:row>50</xdr:row>
      <xdr:rowOff>134372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EBA53DAF-6E4E-4654-B29F-1D3586C1F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309860" y="8404860"/>
          <a:ext cx="4412567" cy="139167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17584</xdr:colOff>
      <xdr:row>36</xdr:row>
      <xdr:rowOff>134815</xdr:rowOff>
    </xdr:from>
    <xdr:to>
      <xdr:col>3</xdr:col>
      <xdr:colOff>741484</xdr:colOff>
      <xdr:row>37</xdr:row>
      <xdr:rowOff>165295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809D3DD4-7E0C-4D5D-8261-CC60CEBBC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2624" y="7152835"/>
          <a:ext cx="1501140" cy="213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723313</xdr:colOff>
      <xdr:row>5</xdr:row>
      <xdr:rowOff>127197</xdr:rowOff>
    </xdr:from>
    <xdr:to>
      <xdr:col>21</xdr:col>
      <xdr:colOff>525780</xdr:colOff>
      <xdr:row>12</xdr:row>
      <xdr:rowOff>78689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CFD7623B-CD67-4E0C-880B-1A3AC8D305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650893" y="1079697"/>
          <a:ext cx="4412567" cy="1391672"/>
        </a:xfrm>
        <a:prstGeom prst="rect">
          <a:avLst/>
        </a:prstGeom>
      </xdr:spPr>
    </xdr:pic>
    <xdr:clientData/>
  </xdr:twoCellAnchor>
  <xdr:twoCellAnchor editAs="oneCell">
    <xdr:from>
      <xdr:col>10</xdr:col>
      <xdr:colOff>586740</xdr:colOff>
      <xdr:row>43</xdr:row>
      <xdr:rowOff>22860</xdr:rowOff>
    </xdr:from>
    <xdr:to>
      <xdr:col>15</xdr:col>
      <xdr:colOff>404447</xdr:colOff>
      <xdr:row>50</xdr:row>
      <xdr:rowOff>134372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BD729068-FFA3-441A-981F-0B9B090DC7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309860" y="8404860"/>
          <a:ext cx="4412567" cy="139167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17584</xdr:colOff>
      <xdr:row>38</xdr:row>
      <xdr:rowOff>134815</xdr:rowOff>
    </xdr:from>
    <xdr:to>
      <xdr:col>3</xdr:col>
      <xdr:colOff>741484</xdr:colOff>
      <xdr:row>39</xdr:row>
      <xdr:rowOff>165295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5A38AADF-5F89-4F2A-8A9A-8254471CF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2624" y="7152835"/>
          <a:ext cx="1501140" cy="213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723313</xdr:colOff>
      <xdr:row>5</xdr:row>
      <xdr:rowOff>127197</xdr:rowOff>
    </xdr:from>
    <xdr:to>
      <xdr:col>21</xdr:col>
      <xdr:colOff>525780</xdr:colOff>
      <xdr:row>12</xdr:row>
      <xdr:rowOff>78689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896774C-CD5B-44C6-B215-D75DE2C14D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650893" y="1079697"/>
          <a:ext cx="4412567" cy="1391672"/>
        </a:xfrm>
        <a:prstGeom prst="rect">
          <a:avLst/>
        </a:prstGeom>
      </xdr:spPr>
    </xdr:pic>
    <xdr:clientData/>
  </xdr:twoCellAnchor>
  <xdr:twoCellAnchor editAs="oneCell">
    <xdr:from>
      <xdr:col>10</xdr:col>
      <xdr:colOff>586740</xdr:colOff>
      <xdr:row>45</xdr:row>
      <xdr:rowOff>22860</xdr:rowOff>
    </xdr:from>
    <xdr:to>
      <xdr:col>15</xdr:col>
      <xdr:colOff>404447</xdr:colOff>
      <xdr:row>52</xdr:row>
      <xdr:rowOff>134372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ADAC0692-7F84-427E-BC5B-451A9578B3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309860" y="8404860"/>
          <a:ext cx="4412567" cy="139167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17584</xdr:colOff>
      <xdr:row>36</xdr:row>
      <xdr:rowOff>134815</xdr:rowOff>
    </xdr:from>
    <xdr:to>
      <xdr:col>3</xdr:col>
      <xdr:colOff>741484</xdr:colOff>
      <xdr:row>37</xdr:row>
      <xdr:rowOff>165295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689CC18D-0D02-405C-B32D-A4B9CCCFC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2624" y="7152835"/>
          <a:ext cx="1501140" cy="213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723313</xdr:colOff>
      <xdr:row>5</xdr:row>
      <xdr:rowOff>127197</xdr:rowOff>
    </xdr:from>
    <xdr:to>
      <xdr:col>21</xdr:col>
      <xdr:colOff>525780</xdr:colOff>
      <xdr:row>12</xdr:row>
      <xdr:rowOff>78689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2D452B19-BC44-4601-98CD-448C457797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650893" y="1079697"/>
          <a:ext cx="4412567" cy="1391672"/>
        </a:xfrm>
        <a:prstGeom prst="rect">
          <a:avLst/>
        </a:prstGeom>
      </xdr:spPr>
    </xdr:pic>
    <xdr:clientData/>
  </xdr:twoCellAnchor>
  <xdr:twoCellAnchor editAs="oneCell">
    <xdr:from>
      <xdr:col>10</xdr:col>
      <xdr:colOff>662940</xdr:colOff>
      <xdr:row>43</xdr:row>
      <xdr:rowOff>137160</xdr:rowOff>
    </xdr:from>
    <xdr:to>
      <xdr:col>15</xdr:col>
      <xdr:colOff>480647</xdr:colOff>
      <xdr:row>51</xdr:row>
      <xdr:rowOff>12452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F97BB246-C247-482F-A329-25B7B353BA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386060" y="8519160"/>
          <a:ext cx="4412567" cy="13916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17584</xdr:colOff>
      <xdr:row>38</xdr:row>
      <xdr:rowOff>134815</xdr:rowOff>
    </xdr:from>
    <xdr:to>
      <xdr:col>3</xdr:col>
      <xdr:colOff>741484</xdr:colOff>
      <xdr:row>39</xdr:row>
      <xdr:rowOff>165295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C34017C6-0290-447A-8DC2-3E3CA7D3C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2624" y="7518595"/>
          <a:ext cx="1501140" cy="213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723313</xdr:colOff>
      <xdr:row>5</xdr:row>
      <xdr:rowOff>127197</xdr:rowOff>
    </xdr:from>
    <xdr:to>
      <xdr:col>21</xdr:col>
      <xdr:colOff>525780</xdr:colOff>
      <xdr:row>12</xdr:row>
      <xdr:rowOff>78689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653B255A-04A0-4E4F-858B-F679B37CA2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650893" y="1079697"/>
          <a:ext cx="4412567" cy="1391672"/>
        </a:xfrm>
        <a:prstGeom prst="rect">
          <a:avLst/>
        </a:prstGeom>
      </xdr:spPr>
    </xdr:pic>
    <xdr:clientData/>
  </xdr:twoCellAnchor>
  <xdr:twoCellAnchor editAs="oneCell">
    <xdr:from>
      <xdr:col>10</xdr:col>
      <xdr:colOff>586740</xdr:colOff>
      <xdr:row>45</xdr:row>
      <xdr:rowOff>22860</xdr:rowOff>
    </xdr:from>
    <xdr:to>
      <xdr:col>15</xdr:col>
      <xdr:colOff>404447</xdr:colOff>
      <xdr:row>52</xdr:row>
      <xdr:rowOff>134372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40C927EF-40C6-4977-A03B-C42C3EF8ED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309860" y="8770620"/>
          <a:ext cx="4412567" cy="139167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17584</xdr:colOff>
      <xdr:row>36</xdr:row>
      <xdr:rowOff>134815</xdr:rowOff>
    </xdr:from>
    <xdr:to>
      <xdr:col>3</xdr:col>
      <xdr:colOff>741484</xdr:colOff>
      <xdr:row>37</xdr:row>
      <xdr:rowOff>165295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2BCB2023-282F-4D4D-88A8-A6221F4DD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2624" y="7152835"/>
          <a:ext cx="1501140" cy="213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723313</xdr:colOff>
      <xdr:row>5</xdr:row>
      <xdr:rowOff>127197</xdr:rowOff>
    </xdr:from>
    <xdr:to>
      <xdr:col>21</xdr:col>
      <xdr:colOff>525780</xdr:colOff>
      <xdr:row>12</xdr:row>
      <xdr:rowOff>78689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3E95BA6-A5A7-4E6E-839C-754743596D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650893" y="1079697"/>
          <a:ext cx="4412567" cy="1391672"/>
        </a:xfrm>
        <a:prstGeom prst="rect">
          <a:avLst/>
        </a:prstGeom>
      </xdr:spPr>
    </xdr:pic>
    <xdr:clientData/>
  </xdr:twoCellAnchor>
  <xdr:twoCellAnchor editAs="oneCell">
    <xdr:from>
      <xdr:col>10</xdr:col>
      <xdr:colOff>662940</xdr:colOff>
      <xdr:row>43</xdr:row>
      <xdr:rowOff>137160</xdr:rowOff>
    </xdr:from>
    <xdr:to>
      <xdr:col>15</xdr:col>
      <xdr:colOff>480647</xdr:colOff>
      <xdr:row>51</xdr:row>
      <xdr:rowOff>12452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3011FC8C-00BF-4CF5-AA7F-B05AAFCCF9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386060" y="8519160"/>
          <a:ext cx="4412567" cy="139167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17584</xdr:colOff>
      <xdr:row>38</xdr:row>
      <xdr:rowOff>134815</xdr:rowOff>
    </xdr:from>
    <xdr:to>
      <xdr:col>3</xdr:col>
      <xdr:colOff>741484</xdr:colOff>
      <xdr:row>39</xdr:row>
      <xdr:rowOff>165295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778FE44F-5110-4F99-A1DA-9D28A7422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2624" y="7518595"/>
          <a:ext cx="1501140" cy="213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723313</xdr:colOff>
      <xdr:row>5</xdr:row>
      <xdr:rowOff>127197</xdr:rowOff>
    </xdr:from>
    <xdr:to>
      <xdr:col>21</xdr:col>
      <xdr:colOff>525780</xdr:colOff>
      <xdr:row>12</xdr:row>
      <xdr:rowOff>78689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147E9CA8-E520-420B-A40B-1CDE356E6D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650893" y="1079697"/>
          <a:ext cx="4412567" cy="1391672"/>
        </a:xfrm>
        <a:prstGeom prst="rect">
          <a:avLst/>
        </a:prstGeom>
      </xdr:spPr>
    </xdr:pic>
    <xdr:clientData/>
  </xdr:twoCellAnchor>
  <xdr:twoCellAnchor editAs="oneCell">
    <xdr:from>
      <xdr:col>10</xdr:col>
      <xdr:colOff>586740</xdr:colOff>
      <xdr:row>45</xdr:row>
      <xdr:rowOff>22860</xdr:rowOff>
    </xdr:from>
    <xdr:to>
      <xdr:col>15</xdr:col>
      <xdr:colOff>404447</xdr:colOff>
      <xdr:row>52</xdr:row>
      <xdr:rowOff>134372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30DA6C86-F942-4056-8CC0-8A2B9BC77E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309860" y="8770620"/>
          <a:ext cx="4412567" cy="139167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17584</xdr:colOff>
      <xdr:row>36</xdr:row>
      <xdr:rowOff>134815</xdr:rowOff>
    </xdr:from>
    <xdr:to>
      <xdr:col>3</xdr:col>
      <xdr:colOff>741484</xdr:colOff>
      <xdr:row>37</xdr:row>
      <xdr:rowOff>165295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B5D62713-9E26-4381-9F7C-7D1491224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2624" y="7152835"/>
          <a:ext cx="1501140" cy="213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723313</xdr:colOff>
      <xdr:row>5</xdr:row>
      <xdr:rowOff>127197</xdr:rowOff>
    </xdr:from>
    <xdr:to>
      <xdr:col>21</xdr:col>
      <xdr:colOff>525780</xdr:colOff>
      <xdr:row>12</xdr:row>
      <xdr:rowOff>78689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412735A3-A699-41C4-87CF-2D5146A9B3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650893" y="1079697"/>
          <a:ext cx="4412567" cy="1391672"/>
        </a:xfrm>
        <a:prstGeom prst="rect">
          <a:avLst/>
        </a:prstGeom>
      </xdr:spPr>
    </xdr:pic>
    <xdr:clientData/>
  </xdr:twoCellAnchor>
  <xdr:twoCellAnchor editAs="oneCell">
    <xdr:from>
      <xdr:col>10</xdr:col>
      <xdr:colOff>662940</xdr:colOff>
      <xdr:row>43</xdr:row>
      <xdr:rowOff>137160</xdr:rowOff>
    </xdr:from>
    <xdr:to>
      <xdr:col>15</xdr:col>
      <xdr:colOff>480647</xdr:colOff>
      <xdr:row>51</xdr:row>
      <xdr:rowOff>12452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D8C96133-400C-4FAB-B106-6762DEFF30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386060" y="8519160"/>
          <a:ext cx="4412567" cy="1391672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ABHISHEK BANERJEE" id="{4F60FB0A-723E-48F5-93E1-D11D2A793658}" userId="de0fc500bc0302e1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0"/>
  <sheetViews>
    <sheetView tabSelected="1" topLeftCell="A34" zoomScaleNormal="100" workbookViewId="0">
      <selection activeCell="F43" sqref="F43"/>
    </sheetView>
  </sheetViews>
  <sheetFormatPr defaultRowHeight="14.5" x14ac:dyDescent="0.35"/>
  <cols>
    <col min="1" max="1" width="18.54296875" customWidth="1"/>
    <col min="2" max="2" width="13.90625" bestFit="1" customWidth="1"/>
    <col min="3" max="3" width="11.36328125" customWidth="1"/>
    <col min="4" max="4" width="12.6328125" customWidth="1"/>
    <col min="5" max="5" width="16.81640625" customWidth="1"/>
    <col min="6" max="6" width="16.90625" customWidth="1"/>
    <col min="7" max="7" width="13.453125" customWidth="1"/>
    <col min="8" max="8" width="14.90625" bestFit="1" customWidth="1"/>
    <col min="9" max="9" width="11.08984375" bestFit="1" customWidth="1"/>
    <col min="10" max="12" width="12.1796875" bestFit="1" customWidth="1"/>
    <col min="13" max="13" width="15.453125" customWidth="1"/>
    <col min="14" max="14" width="12.1796875" bestFit="1" customWidth="1"/>
    <col min="15" max="15" width="14.90625" bestFit="1" customWidth="1"/>
    <col min="17" max="17" width="12.1796875" bestFit="1" customWidth="1"/>
    <col min="18" max="18" width="14.1796875" customWidth="1"/>
    <col min="19" max="19" width="14.08984375" customWidth="1"/>
    <col min="20" max="20" width="13" customWidth="1"/>
    <col min="21" max="21" width="13.6328125" customWidth="1"/>
    <col min="24" max="28" width="12.1796875" bestFit="1" customWidth="1"/>
    <col min="30" max="30" width="10.1796875" bestFit="1" customWidth="1"/>
  </cols>
  <sheetData>
    <row r="1" spans="1:30" ht="15" thickBot="1" x14ac:dyDescent="0.4">
      <c r="A1" s="1"/>
      <c r="B1" s="8" t="s">
        <v>0</v>
      </c>
      <c r="C1" s="8" t="s">
        <v>1</v>
      </c>
      <c r="D1" s="8" t="s">
        <v>2</v>
      </c>
      <c r="E1" s="8" t="s">
        <v>3</v>
      </c>
      <c r="F1" s="8" t="s">
        <v>4</v>
      </c>
      <c r="I1" s="41" t="s">
        <v>49</v>
      </c>
      <c r="J1" t="s">
        <v>52</v>
      </c>
      <c r="K1" s="34">
        <v>0.09</v>
      </c>
      <c r="L1" s="43" t="s">
        <v>54</v>
      </c>
      <c r="N1" s="21" t="s">
        <v>58</v>
      </c>
      <c r="O1">
        <v>10</v>
      </c>
    </row>
    <row r="2" spans="1:30" ht="15" thickBot="1" x14ac:dyDescent="0.4">
      <c r="A2" s="9" t="s">
        <v>5</v>
      </c>
      <c r="B2" s="2">
        <v>35.479999999999997</v>
      </c>
      <c r="C2" s="2">
        <v>22.61</v>
      </c>
      <c r="D2" s="2">
        <v>17.66</v>
      </c>
      <c r="E2" s="2">
        <v>11.81</v>
      </c>
      <c r="F2" s="2">
        <v>3.36</v>
      </c>
      <c r="I2" s="21" t="s">
        <v>50</v>
      </c>
      <c r="J2" t="s">
        <v>53</v>
      </c>
      <c r="K2" s="34">
        <v>0.1</v>
      </c>
      <c r="L2" s="43" t="s">
        <v>54</v>
      </c>
      <c r="N2" s="21" t="s">
        <v>59</v>
      </c>
      <c r="O2">
        <v>20</v>
      </c>
    </row>
    <row r="3" spans="1:30" ht="15" thickBot="1" x14ac:dyDescent="0.4">
      <c r="A3" s="9" t="s">
        <v>6</v>
      </c>
      <c r="B3" s="2">
        <v>6.98</v>
      </c>
      <c r="C3" s="2">
        <v>6.48</v>
      </c>
      <c r="D3" s="2">
        <v>5.26</v>
      </c>
      <c r="E3" s="2">
        <v>3.48</v>
      </c>
      <c r="F3" s="2">
        <v>4.49</v>
      </c>
      <c r="I3" s="21" t="s">
        <v>51</v>
      </c>
      <c r="K3" s="42">
        <f>SUM(K1:K2)</f>
        <v>0.19</v>
      </c>
      <c r="L3" s="43" t="s">
        <v>54</v>
      </c>
      <c r="N3" s="21" t="s">
        <v>60</v>
      </c>
      <c r="O3">
        <v>70</v>
      </c>
    </row>
    <row r="4" spans="1:30" ht="15" thickBot="1" x14ac:dyDescent="0.4">
      <c r="A4" s="9" t="s">
        <v>15</v>
      </c>
      <c r="B4" s="2">
        <f>B3^2</f>
        <v>48.720400000000005</v>
      </c>
      <c r="C4" s="2">
        <f t="shared" ref="C4:F4" si="0">C3^2</f>
        <v>41.990400000000008</v>
      </c>
      <c r="D4" s="2">
        <f t="shared" si="0"/>
        <v>27.667599999999997</v>
      </c>
      <c r="E4" s="2">
        <f t="shared" si="0"/>
        <v>12.1104</v>
      </c>
      <c r="F4" s="2">
        <f t="shared" si="0"/>
        <v>20.160100000000003</v>
      </c>
      <c r="I4" s="21" t="s">
        <v>36</v>
      </c>
      <c r="J4" t="s">
        <v>37</v>
      </c>
      <c r="K4" s="34">
        <f>0.15*365</f>
        <v>54.75</v>
      </c>
      <c r="L4" t="s">
        <v>38</v>
      </c>
      <c r="N4" s="34"/>
    </row>
    <row r="5" spans="1:30" ht="15" thickBot="1" x14ac:dyDescent="0.4">
      <c r="A5" s="9" t="s">
        <v>7</v>
      </c>
      <c r="B5" s="2">
        <v>2.48</v>
      </c>
      <c r="C5" s="2">
        <v>4.1500000000000004</v>
      </c>
      <c r="D5" s="2">
        <v>6.15</v>
      </c>
      <c r="E5" s="2">
        <v>6.16</v>
      </c>
      <c r="F5" s="2">
        <v>7.49</v>
      </c>
      <c r="I5" s="21" t="s">
        <v>21</v>
      </c>
      <c r="J5" t="s">
        <v>24</v>
      </c>
      <c r="K5">
        <v>6</v>
      </c>
      <c r="L5" t="s">
        <v>22</v>
      </c>
      <c r="N5" t="s">
        <v>91</v>
      </c>
      <c r="O5" s="57">
        <v>0.12</v>
      </c>
    </row>
    <row r="6" spans="1:30" ht="25.5" thickBot="1" x14ac:dyDescent="0.55000000000000004">
      <c r="A6" s="9" t="s">
        <v>8</v>
      </c>
      <c r="B6" s="2">
        <v>3.16</v>
      </c>
      <c r="C6" s="2">
        <v>6.2</v>
      </c>
      <c r="D6" s="2">
        <v>6.39</v>
      </c>
      <c r="E6" s="2">
        <v>6.76</v>
      </c>
      <c r="F6" s="2">
        <v>3.56</v>
      </c>
      <c r="I6" s="21" t="s">
        <v>23</v>
      </c>
      <c r="J6" t="s">
        <v>25</v>
      </c>
      <c r="K6">
        <v>5</v>
      </c>
      <c r="L6" t="s">
        <v>22</v>
      </c>
      <c r="N6" s="23"/>
    </row>
    <row r="7" spans="1:30" ht="15" thickBot="1" x14ac:dyDescent="0.4">
      <c r="A7" s="9" t="s">
        <v>16</v>
      </c>
      <c r="B7" s="2">
        <f>B6^2</f>
        <v>9.9856000000000016</v>
      </c>
      <c r="C7" s="2">
        <f t="shared" ref="C7:F7" si="1">C6^2</f>
        <v>38.440000000000005</v>
      </c>
      <c r="D7" s="2">
        <f t="shared" si="1"/>
        <v>40.832099999999997</v>
      </c>
      <c r="E7" s="2">
        <f t="shared" si="1"/>
        <v>45.697599999999994</v>
      </c>
      <c r="F7" s="2">
        <f t="shared" si="1"/>
        <v>12.6736</v>
      </c>
      <c r="I7" s="21" t="s">
        <v>72</v>
      </c>
      <c r="K7" s="24">
        <v>4</v>
      </c>
      <c r="L7" t="s">
        <v>22</v>
      </c>
      <c r="M7" s="25" t="s">
        <v>29</v>
      </c>
      <c r="O7" s="21" t="s">
        <v>73</v>
      </c>
      <c r="P7" s="24">
        <v>3</v>
      </c>
      <c r="Q7" t="s">
        <v>22</v>
      </c>
    </row>
    <row r="8" spans="1:30" ht="15" thickBot="1" x14ac:dyDescent="0.4">
      <c r="A8" s="9" t="s">
        <v>9</v>
      </c>
      <c r="B8" s="2">
        <v>0.48</v>
      </c>
      <c r="C8" s="2">
        <v>0.73</v>
      </c>
      <c r="D8" s="2">
        <v>0.8</v>
      </c>
      <c r="E8" s="2">
        <v>1.94</v>
      </c>
      <c r="F8" s="2">
        <v>2.54</v>
      </c>
      <c r="H8" s="11" t="s">
        <v>18</v>
      </c>
    </row>
    <row r="9" spans="1:30" ht="15" thickBot="1" x14ac:dyDescent="0.4">
      <c r="A9" s="9" t="s">
        <v>10</v>
      </c>
      <c r="B9" s="2">
        <v>1.98</v>
      </c>
      <c r="C9" s="2">
        <v>1.42</v>
      </c>
      <c r="D9" s="2">
        <v>2.39</v>
      </c>
      <c r="E9" s="2">
        <v>3.76</v>
      </c>
      <c r="F9" s="2">
        <v>3.98</v>
      </c>
      <c r="H9" s="12">
        <v>0.5</v>
      </c>
    </row>
    <row r="10" spans="1:30" x14ac:dyDescent="0.35">
      <c r="A10" s="10" t="s">
        <v>17</v>
      </c>
      <c r="B10" s="2">
        <f>B9^2</f>
        <v>3.9203999999999999</v>
      </c>
      <c r="C10" s="2">
        <f t="shared" ref="C10:F10" si="2">C9^2</f>
        <v>2.0164</v>
      </c>
      <c r="D10" s="2">
        <f t="shared" si="2"/>
        <v>5.7121000000000004</v>
      </c>
      <c r="E10" s="2">
        <f t="shared" si="2"/>
        <v>14.137599999999999</v>
      </c>
      <c r="F10" s="2">
        <f t="shared" si="2"/>
        <v>15.840400000000001</v>
      </c>
      <c r="H10" s="7"/>
      <c r="I10" s="21" t="s">
        <v>68</v>
      </c>
      <c r="K10" s="34">
        <f>0.05</f>
        <v>0.05</v>
      </c>
      <c r="L10" t="s">
        <v>54</v>
      </c>
    </row>
    <row r="11" spans="1:30" x14ac:dyDescent="0.35">
      <c r="I11" s="21" t="s">
        <v>69</v>
      </c>
      <c r="K11" s="34">
        <v>0.24</v>
      </c>
      <c r="L11" t="s">
        <v>54</v>
      </c>
    </row>
    <row r="12" spans="1:30" s="17" customFormat="1" x14ac:dyDescent="0.35">
      <c r="A12" s="3"/>
      <c r="I12" s="21" t="s">
        <v>67</v>
      </c>
      <c r="K12" s="46">
        <f>SUM(K10:K11)</f>
        <v>0.28999999999999998</v>
      </c>
      <c r="L12" t="s">
        <v>54</v>
      </c>
    </row>
    <row r="13" spans="1:30" s="31" customFormat="1" x14ac:dyDescent="0.35">
      <c r="A13" s="30" t="s">
        <v>33</v>
      </c>
    </row>
    <row r="14" spans="1:30" s="17" customFormat="1" ht="19" x14ac:dyDescent="0.45">
      <c r="A14" s="3" t="s">
        <v>19</v>
      </c>
      <c r="D14" s="17" t="s">
        <v>26</v>
      </c>
      <c r="I14" s="18" t="s">
        <v>30</v>
      </c>
      <c r="M14" s="17" t="s">
        <v>71</v>
      </c>
      <c r="P14" s="18"/>
      <c r="W14" s="26"/>
      <c r="X14" s="26"/>
      <c r="Y14" s="26"/>
      <c r="Z14" s="26"/>
      <c r="AA14" s="26"/>
      <c r="AB14" s="26"/>
      <c r="AD14" s="24" t="s">
        <v>31</v>
      </c>
    </row>
    <row r="15" spans="1:30" s="17" customFormat="1" ht="29" x14ac:dyDescent="0.35">
      <c r="A15" s="3"/>
      <c r="B15" s="8" t="s">
        <v>0</v>
      </c>
      <c r="C15" s="8" t="s">
        <v>1</v>
      </c>
      <c r="D15" s="8" t="s">
        <v>2</v>
      </c>
      <c r="E15" s="8" t="s">
        <v>3</v>
      </c>
      <c r="F15" s="8" t="s">
        <v>4</v>
      </c>
      <c r="G15" s="19" t="s">
        <v>20</v>
      </c>
      <c r="J15" s="8" t="s">
        <v>0</v>
      </c>
      <c r="K15" s="8" t="s">
        <v>1</v>
      </c>
      <c r="L15" s="8" t="s">
        <v>2</v>
      </c>
      <c r="M15" s="8" t="s">
        <v>3</v>
      </c>
      <c r="N15" s="8" t="s">
        <v>4</v>
      </c>
      <c r="P15" s="26"/>
      <c r="Q15" s="39"/>
      <c r="R15" s="39"/>
      <c r="S15" s="39"/>
      <c r="T15" s="39"/>
      <c r="U15" s="39"/>
      <c r="W15" s="26"/>
      <c r="X15" s="39"/>
      <c r="Y15" s="39"/>
      <c r="Z15" s="39"/>
      <c r="AA15" s="39"/>
      <c r="AB15" s="39"/>
      <c r="AD15" s="24"/>
    </row>
    <row r="16" spans="1:30" s="17" customFormat="1" x14ac:dyDescent="0.35">
      <c r="A16" s="6" t="s">
        <v>12</v>
      </c>
      <c r="B16" s="4">
        <f>_xlfn.NORM.S.INV(0.95)*SQRT(SUM($K$5:$K$6))*B3</f>
        <v>38.07842896325964</v>
      </c>
      <c r="C16" s="4">
        <f>_xlfn.NORM.S.INV(0.95)*SQRT(SUM($K$5:$K$6))*C3</f>
        <v>35.350747805433016</v>
      </c>
      <c r="D16" s="4">
        <f>_xlfn.NORM.S.INV(0.95)*SQRT(SUM($K$5:$K$6))*D3</f>
        <v>28.695205780336057</v>
      </c>
      <c r="E16" s="4">
        <f>_xlfn.NORM.S.INV(0.95)*SQRT(SUM($K$5:$K$6))*E3</f>
        <v>18.984660858473287</v>
      </c>
      <c r="F16" s="4">
        <f>_xlfn.NORM.S.INV(0.95)*SQRT(SUM($K$5:$K$6))*F3</f>
        <v>24.494576797283063</v>
      </c>
      <c r="G16" s="20">
        <f>SUM(B16:F16)</f>
        <v>145.60362020478507</v>
      </c>
      <c r="I16" s="6" t="s">
        <v>12</v>
      </c>
      <c r="J16" s="22">
        <f>((B2*$K$5))/2</f>
        <v>106.44</v>
      </c>
      <c r="K16" s="22">
        <f t="shared" ref="K16:N16" si="3">((C2*$K$5))/2</f>
        <v>67.83</v>
      </c>
      <c r="L16" s="22">
        <f t="shared" si="3"/>
        <v>52.980000000000004</v>
      </c>
      <c r="M16" s="22">
        <f t="shared" si="3"/>
        <v>35.43</v>
      </c>
      <c r="N16" s="22">
        <f t="shared" si="3"/>
        <v>10.08</v>
      </c>
      <c r="P16" s="3"/>
      <c r="Q16" s="58"/>
      <c r="R16" s="26"/>
      <c r="S16" s="26"/>
      <c r="T16" s="26"/>
      <c r="U16" s="26"/>
      <c r="W16" s="3"/>
      <c r="X16" s="26"/>
      <c r="Y16" s="26"/>
      <c r="Z16" s="26"/>
      <c r="AA16" s="26"/>
      <c r="AB16" s="26"/>
      <c r="AD16" s="27">
        <f>X16*0.15</f>
        <v>0</v>
      </c>
    </row>
    <row r="17" spans="1:28" s="17" customFormat="1" x14ac:dyDescent="0.35">
      <c r="A17" s="6" t="s">
        <v>13</v>
      </c>
      <c r="B17" s="4">
        <f>_xlfn.NORM.S.INV(0.95)*SQRT(SUM($K$5:$K$6))*B6</f>
        <v>17.238944917464249</v>
      </c>
      <c r="C17" s="4">
        <f>_xlfn.NORM.S.INV(0.95)*SQRT(SUM($K$5:$K$6))*C6</f>
        <v>33.82324635705011</v>
      </c>
      <c r="D17" s="4">
        <f>_xlfn.NORM.S.INV(0.95)*SQRT(SUM($K$5:$K$6))*D6</f>
        <v>34.859765197024224</v>
      </c>
      <c r="E17" s="4">
        <f>_xlfn.NORM.S.INV(0.95)*SQRT(SUM($K$5:$K$6))*E6</f>
        <v>36.878249253815923</v>
      </c>
      <c r="F17" s="4">
        <f>_xlfn.NORM.S.INV(0.95)*SQRT(SUM($K$5:$K$6))*F6</f>
        <v>19.421089843725547</v>
      </c>
      <c r="G17" s="20">
        <f t="shared" ref="G17:G18" si="4">SUM(B17:F17)</f>
        <v>142.22129556908004</v>
      </c>
      <c r="I17" s="6" t="s">
        <v>13</v>
      </c>
      <c r="J17" s="22">
        <f>(($K$5*B5))/2</f>
        <v>7.4399999999999995</v>
      </c>
      <c r="K17" s="22">
        <f t="shared" ref="K17:N17" si="5">(($K$5*C5))/2</f>
        <v>12.450000000000001</v>
      </c>
      <c r="L17" s="22">
        <f t="shared" si="5"/>
        <v>18.450000000000003</v>
      </c>
      <c r="M17" s="22">
        <f t="shared" si="5"/>
        <v>18.48</v>
      </c>
      <c r="N17" s="22">
        <f t="shared" si="5"/>
        <v>22.47</v>
      </c>
      <c r="P17" s="3"/>
      <c r="Q17" s="26"/>
      <c r="R17" s="26"/>
      <c r="S17" s="26"/>
      <c r="T17" s="26"/>
      <c r="U17" s="26"/>
      <c r="W17" s="3"/>
      <c r="X17" s="26"/>
      <c r="Y17" s="26"/>
      <c r="Z17" s="26"/>
      <c r="AA17" s="26"/>
      <c r="AB17" s="26"/>
    </row>
    <row r="18" spans="1:28" s="17" customFormat="1" x14ac:dyDescent="0.35">
      <c r="A18" s="6" t="s">
        <v>14</v>
      </c>
      <c r="B18" s="4">
        <f>_xlfn.NORM.S.INV(0.95)*SQRT(SUM($K$5:$K$6))*B9</f>
        <v>10.801617384993421</v>
      </c>
      <c r="C18" s="4">
        <f t="shared" ref="C18:F18" si="6">_xlfn.NORM.S.INV(0.95)*SQRT(SUM($K$5:$K$6))*C9</f>
        <v>7.7466144882276051</v>
      </c>
      <c r="D18" s="4">
        <f t="shared" si="6"/>
        <v>13.038315934411251</v>
      </c>
      <c r="E18" s="4">
        <f t="shared" si="6"/>
        <v>20.512162306856194</v>
      </c>
      <c r="F18" s="4">
        <f t="shared" si="6"/>
        <v>21.712342016299907</v>
      </c>
      <c r="G18" s="20">
        <f t="shared" si="4"/>
        <v>73.811052130788369</v>
      </c>
      <c r="I18" s="6" t="s">
        <v>14</v>
      </c>
      <c r="J18" s="22">
        <f>(($K$5*B8))/2</f>
        <v>1.44</v>
      </c>
      <c r="K18" s="22">
        <f t="shared" ref="K18:N18" si="7">(($K$5*C8))/2</f>
        <v>2.19</v>
      </c>
      <c r="L18" s="22">
        <f t="shared" si="7"/>
        <v>2.4000000000000004</v>
      </c>
      <c r="M18" s="22">
        <f t="shared" si="7"/>
        <v>5.82</v>
      </c>
      <c r="N18" s="22">
        <f t="shared" si="7"/>
        <v>7.62</v>
      </c>
      <c r="P18" s="3"/>
      <c r="Q18" s="26"/>
      <c r="R18" s="26"/>
      <c r="S18" s="26"/>
      <c r="T18" s="26"/>
      <c r="U18" s="26"/>
      <c r="W18" s="3"/>
      <c r="X18" s="26"/>
      <c r="Y18" s="26"/>
      <c r="Z18" s="26"/>
      <c r="AA18" s="26"/>
      <c r="AB18" s="26"/>
    </row>
    <row r="19" spans="1:28" s="17" customFormat="1" x14ac:dyDescent="0.35">
      <c r="A19" s="3"/>
      <c r="B19" s="28"/>
      <c r="C19" s="28"/>
      <c r="D19" s="28"/>
      <c r="E19" s="28"/>
      <c r="F19" s="28"/>
      <c r="G19" s="29"/>
      <c r="I19" s="3"/>
      <c r="J19" s="26"/>
      <c r="K19" s="26"/>
      <c r="L19" s="26"/>
      <c r="M19" s="26"/>
      <c r="N19" s="26"/>
      <c r="P19" s="3"/>
      <c r="Q19" s="26"/>
      <c r="R19" s="26"/>
      <c r="S19" s="26"/>
      <c r="T19" s="26"/>
      <c r="U19" s="26"/>
      <c r="W19" s="3"/>
      <c r="X19" s="26"/>
      <c r="Y19" s="26"/>
      <c r="Z19" s="26"/>
      <c r="AA19" s="26"/>
      <c r="AB19" s="26"/>
    </row>
    <row r="20" spans="1:28" s="17" customFormat="1" x14ac:dyDescent="0.35">
      <c r="A20" s="3"/>
      <c r="B20" s="28"/>
      <c r="C20" s="28"/>
      <c r="D20" s="28"/>
      <c r="E20" s="28"/>
      <c r="F20" s="28"/>
      <c r="G20" s="29"/>
      <c r="I20" s="3"/>
      <c r="J20" s="26"/>
      <c r="K20" s="26"/>
      <c r="L20" s="26"/>
      <c r="M20" s="26"/>
      <c r="N20" s="26"/>
      <c r="P20" s="3"/>
      <c r="Q20" s="26"/>
      <c r="R20" s="26"/>
      <c r="S20" s="26"/>
      <c r="T20" s="26"/>
      <c r="U20" s="26"/>
      <c r="W20" s="3"/>
      <c r="X20" s="26"/>
      <c r="Y20" s="26"/>
      <c r="Z20" s="26"/>
      <c r="AA20" s="26"/>
      <c r="AB20" s="26"/>
    </row>
    <row r="21" spans="1:28" s="17" customFormat="1" x14ac:dyDescent="0.35">
      <c r="A21" s="3" t="s">
        <v>46</v>
      </c>
      <c r="D21" s="17" t="s">
        <v>62</v>
      </c>
      <c r="I21" s="18" t="s">
        <v>43</v>
      </c>
      <c r="M21" s="17" t="s">
        <v>45</v>
      </c>
      <c r="P21" s="18" t="s">
        <v>44</v>
      </c>
      <c r="W21" s="3" t="s">
        <v>47</v>
      </c>
      <c r="X21" s="26"/>
      <c r="Y21" s="26"/>
      <c r="Z21" s="26"/>
      <c r="AA21" s="26"/>
      <c r="AB21" s="26"/>
    </row>
    <row r="22" spans="1:28" s="17" customFormat="1" x14ac:dyDescent="0.35">
      <c r="A22" s="3"/>
      <c r="B22" s="8" t="s">
        <v>0</v>
      </c>
      <c r="C22" s="8" t="s">
        <v>1</v>
      </c>
      <c r="D22" s="8" t="s">
        <v>2</v>
      </c>
      <c r="E22" s="8" t="s">
        <v>3</v>
      </c>
      <c r="F22" s="8" t="s">
        <v>4</v>
      </c>
      <c r="G22" s="38"/>
      <c r="J22" s="8" t="s">
        <v>0</v>
      </c>
      <c r="K22" s="8" t="s">
        <v>1</v>
      </c>
      <c r="L22" s="8" t="s">
        <v>2</v>
      </c>
      <c r="M22" s="8" t="s">
        <v>3</v>
      </c>
      <c r="N22" s="8" t="s">
        <v>4</v>
      </c>
      <c r="Q22" s="8" t="s">
        <v>0</v>
      </c>
      <c r="R22" s="8" t="s">
        <v>1</v>
      </c>
      <c r="S22" s="8" t="s">
        <v>2</v>
      </c>
      <c r="T22" s="8" t="s">
        <v>3</v>
      </c>
      <c r="U22" s="8" t="s">
        <v>4</v>
      </c>
      <c r="X22" s="8" t="s">
        <v>0</v>
      </c>
      <c r="Y22" s="8" t="s">
        <v>1</v>
      </c>
      <c r="Z22" s="8" t="s">
        <v>2</v>
      </c>
      <c r="AA22" s="8" t="s">
        <v>3</v>
      </c>
      <c r="AB22" s="8" t="s">
        <v>4</v>
      </c>
    </row>
    <row r="23" spans="1:28" s="17" customFormat="1" x14ac:dyDescent="0.35">
      <c r="A23" s="6" t="s">
        <v>12</v>
      </c>
      <c r="B23" s="36">
        <f>B16*$K$4</f>
        <v>2084.7939857384654</v>
      </c>
      <c r="C23" s="36">
        <f t="shared" ref="C23:F23" si="8">C16*$K$4</f>
        <v>1935.4534423474577</v>
      </c>
      <c r="D23" s="36">
        <f t="shared" si="8"/>
        <v>1571.062516473399</v>
      </c>
      <c r="E23" s="36">
        <f t="shared" si="8"/>
        <v>1039.4101820014125</v>
      </c>
      <c r="F23" s="36">
        <f t="shared" si="8"/>
        <v>1341.0780796512477</v>
      </c>
      <c r="G23" s="37"/>
      <c r="I23" s="6" t="s">
        <v>12</v>
      </c>
      <c r="J23" s="35">
        <f>J16*$K$4</f>
        <v>5827.59</v>
      </c>
      <c r="K23" s="35">
        <f t="shared" ref="K23:N23" si="9">K16*$K$4</f>
        <v>3713.6925000000001</v>
      </c>
      <c r="L23" s="35">
        <f t="shared" si="9"/>
        <v>2900.6550000000002</v>
      </c>
      <c r="M23" s="35">
        <f t="shared" si="9"/>
        <v>1939.7925</v>
      </c>
      <c r="N23" s="35">
        <f t="shared" si="9"/>
        <v>551.88</v>
      </c>
      <c r="P23" s="6" t="s">
        <v>12</v>
      </c>
      <c r="Q23" s="35">
        <f>365*B2*$K$7*($K$4/365)</f>
        <v>7770.119999999999</v>
      </c>
      <c r="R23" s="35">
        <f t="shared" ref="R23:U23" si="10">365*C2*$K$7*($K$4/365)</f>
        <v>4951.5899999999992</v>
      </c>
      <c r="S23" s="35">
        <f t="shared" si="10"/>
        <v>3867.5399999999995</v>
      </c>
      <c r="T23" s="35">
        <f t="shared" si="10"/>
        <v>2586.3900000000003</v>
      </c>
      <c r="U23" s="35">
        <f t="shared" si="10"/>
        <v>735.83999999999992</v>
      </c>
      <c r="W23" s="6" t="s">
        <v>12</v>
      </c>
      <c r="X23" s="35">
        <f>Q23+J23+B23</f>
        <v>15682.503985738465</v>
      </c>
      <c r="Y23" s="35">
        <f t="shared" ref="Y23:AB25" si="11">R23+K23+C23</f>
        <v>10600.735942347457</v>
      </c>
      <c r="Z23" s="35">
        <f t="shared" si="11"/>
        <v>8339.2575164733989</v>
      </c>
      <c r="AA23" s="35">
        <f t="shared" si="11"/>
        <v>5565.5926820014138</v>
      </c>
      <c r="AB23" s="35">
        <f t="shared" si="11"/>
        <v>2628.7980796512475</v>
      </c>
    </row>
    <row r="24" spans="1:28" s="17" customFormat="1" x14ac:dyDescent="0.35">
      <c r="A24" s="6" t="s">
        <v>13</v>
      </c>
      <c r="B24" s="36">
        <f t="shared" ref="B24:F25" si="12">B17*$K$4</f>
        <v>943.8322342311676</v>
      </c>
      <c r="C24" s="36">
        <f t="shared" si="12"/>
        <v>1851.8227380484934</v>
      </c>
      <c r="D24" s="36">
        <f t="shared" si="12"/>
        <v>1908.5721445370762</v>
      </c>
      <c r="E24" s="36">
        <f t="shared" si="12"/>
        <v>2019.0841466464217</v>
      </c>
      <c r="F24" s="36">
        <f t="shared" si="12"/>
        <v>1063.3046689439736</v>
      </c>
      <c r="G24" s="37"/>
      <c r="I24" s="6" t="s">
        <v>13</v>
      </c>
      <c r="J24" s="35">
        <f t="shared" ref="J24:N25" si="13">J17*$K$4</f>
        <v>407.34</v>
      </c>
      <c r="K24" s="35">
        <f t="shared" si="13"/>
        <v>681.63750000000005</v>
      </c>
      <c r="L24" s="35">
        <f t="shared" si="13"/>
        <v>1010.1375000000002</v>
      </c>
      <c r="M24" s="35">
        <f t="shared" si="13"/>
        <v>1011.78</v>
      </c>
      <c r="N24" s="35">
        <f t="shared" si="13"/>
        <v>1230.2324999999998</v>
      </c>
      <c r="P24" s="6" t="s">
        <v>13</v>
      </c>
      <c r="Q24" s="35">
        <f>365*B5*$K$7*($K$4/365)</f>
        <v>543.12</v>
      </c>
      <c r="R24" s="35">
        <f t="shared" ref="R24:U24" si="14">365*C5*$K$7*($K$4/365)</f>
        <v>908.85000000000014</v>
      </c>
      <c r="S24" s="35">
        <f t="shared" si="14"/>
        <v>1346.85</v>
      </c>
      <c r="T24" s="35">
        <f t="shared" si="14"/>
        <v>1349.04</v>
      </c>
      <c r="U24" s="35">
        <f t="shared" si="14"/>
        <v>1640.31</v>
      </c>
      <c r="W24" s="6" t="s">
        <v>13</v>
      </c>
      <c r="X24" s="35">
        <f t="shared" ref="X24:X25" si="15">Q24+J24+B24</f>
        <v>1894.2922342311676</v>
      </c>
      <c r="Y24" s="35">
        <f t="shared" si="11"/>
        <v>3442.3102380484934</v>
      </c>
      <c r="Z24" s="35">
        <f t="shared" si="11"/>
        <v>4265.5596445370766</v>
      </c>
      <c r="AA24" s="35">
        <f t="shared" si="11"/>
        <v>4379.9041466464214</v>
      </c>
      <c r="AB24" s="35">
        <f t="shared" si="11"/>
        <v>3933.847168943973</v>
      </c>
    </row>
    <row r="25" spans="1:28" s="17" customFormat="1" x14ac:dyDescent="0.35">
      <c r="A25" s="6" t="s">
        <v>14</v>
      </c>
      <c r="B25" s="36">
        <f t="shared" si="12"/>
        <v>591.38855182838972</v>
      </c>
      <c r="C25" s="36">
        <f t="shared" si="12"/>
        <v>424.1271432304614</v>
      </c>
      <c r="D25" s="36">
        <f t="shared" si="12"/>
        <v>713.84779740901604</v>
      </c>
      <c r="E25" s="36">
        <f t="shared" si="12"/>
        <v>1123.0408863003765</v>
      </c>
      <c r="F25" s="36">
        <f t="shared" si="12"/>
        <v>1188.75072539242</v>
      </c>
      <c r="G25" s="37"/>
      <c r="I25" s="6" t="s">
        <v>14</v>
      </c>
      <c r="J25" s="35">
        <f t="shared" si="13"/>
        <v>78.84</v>
      </c>
      <c r="K25" s="35">
        <f t="shared" si="13"/>
        <v>119.9025</v>
      </c>
      <c r="L25" s="35">
        <f t="shared" si="13"/>
        <v>131.4</v>
      </c>
      <c r="M25" s="35">
        <f t="shared" si="13"/>
        <v>318.64500000000004</v>
      </c>
      <c r="N25" s="35">
        <f t="shared" si="13"/>
        <v>417.19499999999999</v>
      </c>
      <c r="P25" s="6" t="s">
        <v>14</v>
      </c>
      <c r="Q25" s="35">
        <f>365*B8*$K$7*($K$4/365)</f>
        <v>105.11999999999999</v>
      </c>
      <c r="R25" s="35">
        <f t="shared" ref="R25:U25" si="16">365*C8*$K$7*($K$4/365)</f>
        <v>159.86999999999998</v>
      </c>
      <c r="S25" s="35">
        <f t="shared" si="16"/>
        <v>175.2</v>
      </c>
      <c r="T25" s="35">
        <f t="shared" si="16"/>
        <v>424.86</v>
      </c>
      <c r="U25" s="35">
        <f t="shared" si="16"/>
        <v>556.26</v>
      </c>
      <c r="W25" s="6" t="s">
        <v>14</v>
      </c>
      <c r="X25" s="35">
        <f t="shared" si="15"/>
        <v>775.34855182838965</v>
      </c>
      <c r="Y25" s="35">
        <f t="shared" si="11"/>
        <v>703.89964323046138</v>
      </c>
      <c r="Z25" s="35">
        <f t="shared" si="11"/>
        <v>1020.4477974090161</v>
      </c>
      <c r="AA25" s="35">
        <f t="shared" si="11"/>
        <v>1866.5458863003767</v>
      </c>
      <c r="AB25" s="35">
        <f t="shared" si="11"/>
        <v>2162.2057253924199</v>
      </c>
    </row>
    <row r="26" spans="1:28" s="17" customFormat="1" x14ac:dyDescent="0.35">
      <c r="A26" s="3"/>
      <c r="B26" s="28"/>
      <c r="C26" s="28"/>
      <c r="D26" s="28"/>
      <c r="E26" s="28"/>
      <c r="F26" s="28"/>
      <c r="G26" s="29"/>
      <c r="I26" s="3"/>
      <c r="J26" s="26"/>
      <c r="K26" s="26"/>
      <c r="L26" s="26"/>
      <c r="M26" s="26"/>
      <c r="N26" s="26"/>
      <c r="P26" s="3"/>
      <c r="Q26" s="26"/>
      <c r="R26" s="26"/>
      <c r="S26" s="26"/>
      <c r="T26" s="26"/>
      <c r="U26" s="26"/>
      <c r="W26" s="3"/>
      <c r="X26" s="26"/>
      <c r="Y26" s="26"/>
      <c r="Z26" s="26"/>
      <c r="AA26" s="26"/>
      <c r="AB26" s="26"/>
    </row>
    <row r="27" spans="1:28" s="31" customFormat="1" x14ac:dyDescent="0.35">
      <c r="A27" s="30" t="s">
        <v>34</v>
      </c>
    </row>
    <row r="28" spans="1:28" s="17" customFormat="1" x14ac:dyDescent="0.35">
      <c r="A28" s="3" t="s">
        <v>35</v>
      </c>
      <c r="B28" s="28"/>
      <c r="C28" s="28"/>
      <c r="D28" s="28"/>
      <c r="E28" s="28" t="s">
        <v>55</v>
      </c>
      <c r="G28" s="29"/>
      <c r="I28" s="3" t="s">
        <v>56</v>
      </c>
      <c r="J28" s="26"/>
      <c r="K28" s="26"/>
      <c r="L28" s="26"/>
      <c r="M28" s="26"/>
      <c r="N28" s="26"/>
      <c r="P28" s="3"/>
      <c r="Q28" s="26"/>
      <c r="R28" s="26"/>
      <c r="S28" s="26"/>
      <c r="T28" s="26"/>
      <c r="U28" s="26"/>
      <c r="W28" s="3"/>
      <c r="X28" s="26"/>
      <c r="Y28" s="26"/>
      <c r="Z28" s="26"/>
      <c r="AA28" s="26"/>
      <c r="AB28" s="26"/>
    </row>
    <row r="29" spans="1:28" s="17" customFormat="1" x14ac:dyDescent="0.35">
      <c r="A29" s="3"/>
      <c r="B29" s="8" t="s">
        <v>0</v>
      </c>
      <c r="C29" s="8" t="s">
        <v>1</v>
      </c>
      <c r="D29" s="8" t="s">
        <v>2</v>
      </c>
      <c r="E29" s="8" t="s">
        <v>3</v>
      </c>
      <c r="F29" s="8" t="s">
        <v>4</v>
      </c>
      <c r="G29" s="29"/>
      <c r="I29" s="3"/>
      <c r="J29" s="8" t="s">
        <v>0</v>
      </c>
      <c r="K29" s="8" t="s">
        <v>1</v>
      </c>
      <c r="L29" s="8" t="s">
        <v>2</v>
      </c>
      <c r="M29" s="8" t="s">
        <v>3</v>
      </c>
      <c r="N29" s="8" t="s">
        <v>4</v>
      </c>
      <c r="O29" s="15" t="s">
        <v>57</v>
      </c>
      <c r="P29" s="3"/>
      <c r="Q29" s="26"/>
      <c r="R29" s="26"/>
      <c r="S29" s="26"/>
      <c r="T29" s="26"/>
      <c r="U29" s="26"/>
      <c r="W29" s="3"/>
      <c r="X29" s="26"/>
      <c r="Y29" s="26"/>
      <c r="Z29" s="26"/>
      <c r="AA29" s="26"/>
      <c r="AB29" s="26"/>
    </row>
    <row r="30" spans="1:28" s="17" customFormat="1" x14ac:dyDescent="0.35">
      <c r="A30" s="6" t="s">
        <v>12</v>
      </c>
      <c r="B30" s="36">
        <f>B2*365*$K$3</f>
        <v>2460.538</v>
      </c>
      <c r="C30" s="36">
        <f t="shared" ref="C30:F30" si="17">C2*365*$K$3</f>
        <v>1568.0035</v>
      </c>
      <c r="D30" s="36">
        <f t="shared" si="17"/>
        <v>1224.721</v>
      </c>
      <c r="E30" s="36">
        <f t="shared" si="17"/>
        <v>819.02350000000013</v>
      </c>
      <c r="F30" s="36">
        <f t="shared" si="17"/>
        <v>233.01599999999996</v>
      </c>
      <c r="G30" s="29"/>
      <c r="I30" s="6" t="s">
        <v>12</v>
      </c>
      <c r="J30" s="36">
        <f>X23+B30</f>
        <v>18143.041985738466</v>
      </c>
      <c r="K30" s="36">
        <f t="shared" ref="K30:N32" si="18">Y23+C30</f>
        <v>12168.739442347458</v>
      </c>
      <c r="L30" s="36">
        <f t="shared" si="18"/>
        <v>9563.9785164733985</v>
      </c>
      <c r="M30" s="36">
        <f t="shared" si="18"/>
        <v>6384.616182001414</v>
      </c>
      <c r="N30" s="36">
        <f t="shared" si="18"/>
        <v>2861.8140796512475</v>
      </c>
      <c r="O30" s="35">
        <f>SUM(J30:N30)*O1</f>
        <v>491221.90206211986</v>
      </c>
      <c r="P30" s="3" t="s">
        <v>106</v>
      </c>
      <c r="Q30" s="26"/>
      <c r="R30" s="26"/>
      <c r="S30" s="26"/>
      <c r="T30" s="26"/>
      <c r="U30" s="26"/>
      <c r="W30" s="3"/>
      <c r="X30" s="26"/>
      <c r="Y30" s="26"/>
      <c r="Z30" s="26"/>
      <c r="AA30" s="26"/>
      <c r="AB30" s="26"/>
    </row>
    <row r="31" spans="1:28" s="17" customFormat="1" x14ac:dyDescent="0.35">
      <c r="A31" s="6" t="s">
        <v>13</v>
      </c>
      <c r="B31" s="36">
        <f>B5*365*$K$3</f>
        <v>171.988</v>
      </c>
      <c r="C31" s="36">
        <f t="shared" ref="C31:F31" si="19">C5*365*$K$3</f>
        <v>287.80250000000007</v>
      </c>
      <c r="D31" s="36">
        <f t="shared" si="19"/>
        <v>426.5025</v>
      </c>
      <c r="E31" s="36">
        <f t="shared" si="19"/>
        <v>427.19600000000003</v>
      </c>
      <c r="F31" s="36">
        <f t="shared" si="19"/>
        <v>519.43150000000003</v>
      </c>
      <c r="G31" s="29"/>
      <c r="I31" s="6" t="s">
        <v>13</v>
      </c>
      <c r="J31" s="36">
        <f t="shared" ref="J31" si="20">X24+B31</f>
        <v>2066.2802342311675</v>
      </c>
      <c r="K31" s="36">
        <f t="shared" si="18"/>
        <v>3730.1127380484936</v>
      </c>
      <c r="L31" s="36">
        <f t="shared" si="18"/>
        <v>4692.0621445370762</v>
      </c>
      <c r="M31" s="36">
        <f t="shared" si="18"/>
        <v>4807.1001466464213</v>
      </c>
      <c r="N31" s="36">
        <f t="shared" si="18"/>
        <v>4453.2786689439727</v>
      </c>
      <c r="O31" s="35">
        <f>SUM(J31:N31)*O2</f>
        <v>394976.67864814273</v>
      </c>
      <c r="P31" s="3" t="s">
        <v>107</v>
      </c>
      <c r="Q31" s="26"/>
      <c r="R31" s="26"/>
      <c r="S31" s="26"/>
      <c r="T31" s="26"/>
      <c r="U31" s="26"/>
      <c r="W31" s="3"/>
      <c r="X31" s="26"/>
      <c r="Y31" s="26"/>
      <c r="Z31" s="26"/>
      <c r="AA31" s="26"/>
      <c r="AB31" s="26"/>
    </row>
    <row r="32" spans="1:28" s="17" customFormat="1" x14ac:dyDescent="0.35">
      <c r="A32" s="6" t="s">
        <v>14</v>
      </c>
      <c r="B32" s="36">
        <f>B8*365*$K$3</f>
        <v>33.287999999999997</v>
      </c>
      <c r="C32" s="36">
        <f t="shared" ref="C32:E32" si="21">C8*365*$K$3</f>
        <v>50.625499999999995</v>
      </c>
      <c r="D32" s="36">
        <f t="shared" si="21"/>
        <v>55.480000000000004</v>
      </c>
      <c r="E32" s="36">
        <f t="shared" si="21"/>
        <v>134.53900000000002</v>
      </c>
      <c r="F32" s="36">
        <f>F8*365*$K$3</f>
        <v>176.149</v>
      </c>
      <c r="G32" s="29"/>
      <c r="I32" s="6" t="s">
        <v>14</v>
      </c>
      <c r="J32" s="36">
        <f>X25+B32</f>
        <v>808.63655182838966</v>
      </c>
      <c r="K32" s="36">
        <f t="shared" si="18"/>
        <v>754.52514323046137</v>
      </c>
      <c r="L32" s="36">
        <f t="shared" si="18"/>
        <v>1075.927797409016</v>
      </c>
      <c r="M32" s="36">
        <f t="shared" si="18"/>
        <v>2001.0848863003766</v>
      </c>
      <c r="N32" s="36">
        <f t="shared" si="18"/>
        <v>2338.3547253924198</v>
      </c>
      <c r="O32" s="35">
        <f t="shared" ref="O31:O32" si="22">SUM(J32:N32)*O3</f>
        <v>488497.03729124641</v>
      </c>
      <c r="P32" s="3" t="s">
        <v>108</v>
      </c>
      <c r="Q32" s="26"/>
      <c r="R32" s="26"/>
      <c r="S32" s="26"/>
      <c r="T32" s="26"/>
      <c r="U32" s="26"/>
      <c r="W32" s="3"/>
      <c r="X32" s="26"/>
      <c r="Y32" s="26"/>
      <c r="Z32" s="26"/>
      <c r="AA32" s="26"/>
      <c r="AB32" s="26"/>
    </row>
    <row r="33" spans="1:28" s="17" customFormat="1" x14ac:dyDescent="0.35">
      <c r="A33" s="3"/>
      <c r="B33" s="28"/>
      <c r="C33" s="28"/>
      <c r="D33" s="28"/>
      <c r="E33" s="28"/>
      <c r="F33" s="28"/>
      <c r="G33" s="29"/>
      <c r="I33" s="3"/>
      <c r="J33" s="26"/>
      <c r="K33" s="26"/>
      <c r="L33" s="26"/>
      <c r="M33" s="26"/>
      <c r="N33" s="44" t="s">
        <v>61</v>
      </c>
      <c r="O33" s="54">
        <f>SUM(O30:O32)</f>
        <v>1374695.618001509</v>
      </c>
      <c r="P33" s="3"/>
      <c r="Q33" s="26"/>
      <c r="R33" s="26"/>
      <c r="S33" s="26"/>
      <c r="T33" s="26"/>
      <c r="U33" s="26"/>
      <c r="W33" s="3"/>
      <c r="X33" s="26"/>
      <c r="Y33" s="26"/>
      <c r="Z33" s="26"/>
      <c r="AA33" s="26"/>
      <c r="AB33" s="26"/>
    </row>
    <row r="34" spans="1:28" s="17" customFormat="1" x14ac:dyDescent="0.35">
      <c r="A34" s="3"/>
      <c r="B34" s="28"/>
      <c r="C34" s="28"/>
      <c r="D34" s="28"/>
      <c r="E34" s="28"/>
      <c r="F34" s="28"/>
      <c r="G34" s="29"/>
      <c r="I34" s="3"/>
      <c r="J34" s="26"/>
      <c r="K34" s="26"/>
      <c r="L34" s="26"/>
      <c r="M34" s="26"/>
      <c r="N34" s="26"/>
      <c r="P34" s="3"/>
      <c r="Q34" s="26"/>
      <c r="R34" s="26"/>
      <c r="S34" s="26"/>
      <c r="T34" s="26"/>
      <c r="U34" s="26"/>
      <c r="W34" s="3"/>
      <c r="X34" s="26"/>
      <c r="Y34" s="26"/>
      <c r="Z34" s="26"/>
      <c r="AA34" s="26"/>
      <c r="AB34" s="26"/>
    </row>
    <row r="35" spans="1:28" s="17" customFormat="1" x14ac:dyDescent="0.35">
      <c r="A35" s="3"/>
    </row>
    <row r="36" spans="1:28" s="33" customFormat="1" x14ac:dyDescent="0.35">
      <c r="A36" s="32" t="s">
        <v>32</v>
      </c>
    </row>
    <row r="37" spans="1:28" s="17" customFormat="1" x14ac:dyDescent="0.35">
      <c r="A37" s="3"/>
    </row>
    <row r="38" spans="1:28" ht="21" x14ac:dyDescent="0.55000000000000004">
      <c r="A38" s="3" t="s">
        <v>27</v>
      </c>
      <c r="B38" t="s">
        <v>28</v>
      </c>
    </row>
    <row r="39" spans="1:28" x14ac:dyDescent="0.35">
      <c r="A39" s="13" t="s">
        <v>12</v>
      </c>
      <c r="B39" s="8" t="s">
        <v>0</v>
      </c>
      <c r="C39" s="8" t="s">
        <v>1</v>
      </c>
      <c r="D39" s="8" t="s">
        <v>2</v>
      </c>
      <c r="E39" s="8" t="s">
        <v>3</v>
      </c>
      <c r="F39" s="8" t="s">
        <v>4</v>
      </c>
      <c r="H39" s="14" t="s">
        <v>13</v>
      </c>
      <c r="I39" s="8" t="s">
        <v>0</v>
      </c>
      <c r="J39" s="8" t="s">
        <v>1</v>
      </c>
      <c r="K39" s="8" t="s">
        <v>2</v>
      </c>
      <c r="L39" s="8" t="s">
        <v>3</v>
      </c>
      <c r="M39" s="8" t="s">
        <v>4</v>
      </c>
      <c r="O39" s="14" t="s">
        <v>14</v>
      </c>
      <c r="P39" s="8" t="s">
        <v>0</v>
      </c>
      <c r="Q39" s="8" t="s">
        <v>1</v>
      </c>
      <c r="R39" s="8" t="s">
        <v>2</v>
      </c>
      <c r="S39" s="8" t="s">
        <v>3</v>
      </c>
      <c r="T39" s="8" t="s">
        <v>4</v>
      </c>
    </row>
    <row r="40" spans="1:28" x14ac:dyDescent="0.35">
      <c r="A40" s="5" t="s">
        <v>0</v>
      </c>
      <c r="B40" s="4"/>
      <c r="C40" s="4">
        <f>$H$9*$B$3*C3</f>
        <v>22.615200000000002</v>
      </c>
      <c r="D40" s="4">
        <f>$H$9*$B$3*D3</f>
        <v>18.357400000000002</v>
      </c>
      <c r="E40" s="4">
        <f>$H$9*$B$3*E3</f>
        <v>12.145200000000001</v>
      </c>
      <c r="F40" s="4">
        <f>$H$9*$B$3*F3</f>
        <v>15.670100000000001</v>
      </c>
      <c r="H40" s="5" t="s">
        <v>0</v>
      </c>
      <c r="I40" s="4"/>
      <c r="J40" s="4">
        <f>$H$9*$B$6*C6</f>
        <v>9.7960000000000012</v>
      </c>
      <c r="K40" s="4">
        <f t="shared" ref="K40:M40" si="23">$H$9*$B$6*D6</f>
        <v>10.0962</v>
      </c>
      <c r="L40" s="4">
        <f t="shared" si="23"/>
        <v>10.6808</v>
      </c>
      <c r="M40" s="4">
        <f t="shared" si="23"/>
        <v>5.6248000000000005</v>
      </c>
      <c r="O40" s="5" t="s">
        <v>0</v>
      </c>
      <c r="P40" s="4"/>
      <c r="Q40" s="4">
        <f>$H$9*$B$9*C9</f>
        <v>1.4057999999999999</v>
      </c>
      <c r="R40" s="4">
        <f t="shared" ref="R40:T40" si="24">$H$9*$B$9*D9</f>
        <v>2.3661000000000003</v>
      </c>
      <c r="S40" s="4">
        <f t="shared" si="24"/>
        <v>3.7223999999999999</v>
      </c>
      <c r="T40" s="4">
        <f t="shared" si="24"/>
        <v>3.9401999999999999</v>
      </c>
    </row>
    <row r="41" spans="1:28" x14ac:dyDescent="0.35">
      <c r="A41" s="5" t="s">
        <v>1</v>
      </c>
      <c r="B41" s="4"/>
      <c r="C41" s="4"/>
      <c r="D41" s="4">
        <f>$H$9*$C$3*D3</f>
        <v>17.042400000000001</v>
      </c>
      <c r="E41" s="4">
        <f t="shared" ref="E41:F41" si="25">$H$9*$C$3*E3</f>
        <v>11.2752</v>
      </c>
      <c r="F41" s="4">
        <f t="shared" si="25"/>
        <v>14.547600000000001</v>
      </c>
      <c r="H41" s="5" t="s">
        <v>1</v>
      </c>
      <c r="I41" s="4"/>
      <c r="J41" s="4"/>
      <c r="K41" s="4">
        <f>$H$9*$C$6*D6</f>
        <v>19.809000000000001</v>
      </c>
      <c r="L41" s="4">
        <f t="shared" ref="L41:M41" si="26">$H$9*$C$6*E6</f>
        <v>20.956</v>
      </c>
      <c r="M41" s="4">
        <f t="shared" si="26"/>
        <v>11.036000000000001</v>
      </c>
      <c r="O41" s="5" t="s">
        <v>1</v>
      </c>
      <c r="P41" s="4"/>
      <c r="Q41" s="4"/>
      <c r="R41" s="4">
        <f>$H$9*$C$9*D9</f>
        <v>1.6969000000000001</v>
      </c>
      <c r="S41" s="4">
        <f t="shared" ref="S41:T41" si="27">$H$9*$C$9*E9</f>
        <v>2.6695999999999995</v>
      </c>
      <c r="T41" s="4">
        <f t="shared" si="27"/>
        <v>2.8257999999999996</v>
      </c>
    </row>
    <row r="42" spans="1:28" x14ac:dyDescent="0.35">
      <c r="A42" s="5" t="s">
        <v>2</v>
      </c>
      <c r="B42" s="4"/>
      <c r="C42" s="4"/>
      <c r="D42" s="4"/>
      <c r="E42" s="4">
        <f>$H$9*$D$3*E3</f>
        <v>9.1524000000000001</v>
      </c>
      <c r="F42" s="4">
        <f>$H$9*$D$3*F3</f>
        <v>11.8087</v>
      </c>
      <c r="H42" s="5" t="s">
        <v>2</v>
      </c>
      <c r="I42" s="4"/>
      <c r="J42" s="4"/>
      <c r="K42" s="4"/>
      <c r="L42" s="4">
        <f>$H$9*$D$6*E6</f>
        <v>21.598199999999999</v>
      </c>
      <c r="M42" s="4">
        <f>$H$9*$D$6*F6</f>
        <v>11.3742</v>
      </c>
      <c r="O42" s="5" t="s">
        <v>2</v>
      </c>
      <c r="P42" s="4"/>
      <c r="Q42" s="4"/>
      <c r="R42" s="4"/>
      <c r="S42" s="4">
        <f>$H$9*$D$9*E9</f>
        <v>4.4931999999999999</v>
      </c>
      <c r="T42" s="4">
        <f>$H$9*$D$9*F9</f>
        <v>4.7561</v>
      </c>
    </row>
    <row r="43" spans="1:28" x14ac:dyDescent="0.35">
      <c r="A43" s="5" t="s">
        <v>3</v>
      </c>
      <c r="B43" s="4"/>
      <c r="C43" s="4"/>
      <c r="D43" s="4"/>
      <c r="E43" s="4"/>
      <c r="F43" s="4">
        <f>$H$9*E3*F3</f>
        <v>7.8126000000000007</v>
      </c>
      <c r="H43" s="5" t="s">
        <v>3</v>
      </c>
      <c r="I43" s="4"/>
      <c r="J43" s="4"/>
      <c r="K43" s="4"/>
      <c r="L43" s="4"/>
      <c r="M43" s="4">
        <f>$H$9*E6*F6</f>
        <v>12.0328</v>
      </c>
      <c r="O43" s="5" t="s">
        <v>3</v>
      </c>
      <c r="P43" s="4"/>
      <c r="Q43" s="4"/>
      <c r="R43" s="4"/>
      <c r="S43" s="4"/>
      <c r="T43" s="4">
        <f>$H$9*$E$9*F9</f>
        <v>7.4823999999999993</v>
      </c>
    </row>
    <row r="44" spans="1:28" x14ac:dyDescent="0.35">
      <c r="A44" s="5" t="s">
        <v>4</v>
      </c>
      <c r="B44" s="4"/>
      <c r="C44" s="4"/>
      <c r="D44" s="4"/>
      <c r="E44" s="4"/>
      <c r="F44" s="4"/>
      <c r="H44" s="5" t="s">
        <v>4</v>
      </c>
      <c r="I44" s="4"/>
      <c r="J44" s="4"/>
      <c r="K44" s="4"/>
      <c r="L44" s="4"/>
      <c r="M44" s="4"/>
      <c r="O44" s="5" t="s">
        <v>4</v>
      </c>
      <c r="P44" s="4"/>
      <c r="Q44" s="4"/>
      <c r="R44" s="4"/>
      <c r="S44" s="4"/>
      <c r="T44" s="4"/>
    </row>
    <row r="46" spans="1:28" x14ac:dyDescent="0.35">
      <c r="A46" s="8" t="s">
        <v>11</v>
      </c>
      <c r="B46" s="15" t="s">
        <v>70</v>
      </c>
      <c r="C46" s="15" t="s">
        <v>63</v>
      </c>
    </row>
    <row r="47" spans="1:28" x14ac:dyDescent="0.35">
      <c r="A47" s="15" t="s">
        <v>12</v>
      </c>
      <c r="B47" s="4">
        <f>SQRT(SUM(B4:F4)+(2*SUM(B40:F44)))</f>
        <v>20.772638253240729</v>
      </c>
      <c r="C47" s="4">
        <f>SUM(B2:F2)</f>
        <v>90.92</v>
      </c>
    </row>
    <row r="48" spans="1:28" x14ac:dyDescent="0.35">
      <c r="A48" s="16" t="s">
        <v>13</v>
      </c>
      <c r="B48" s="4">
        <f>SQRT(SUM(B7:F7)+(2*SUM(I40:M44)))</f>
        <v>20.338065296384514</v>
      </c>
      <c r="C48" s="4">
        <f>SUM(B5:F5)</f>
        <v>26.43</v>
      </c>
    </row>
    <row r="49" spans="1:10" x14ac:dyDescent="0.35">
      <c r="A49" s="16" t="s">
        <v>14</v>
      </c>
      <c r="B49" s="4">
        <f>SQRT(SUM(B10:F10)+(2*SUM(P40:T44)))</f>
        <v>10.599240538831072</v>
      </c>
      <c r="C49" s="4">
        <f>SUM(B8:F8)</f>
        <v>6.49</v>
      </c>
    </row>
    <row r="51" spans="1:10" ht="19" x14ac:dyDescent="0.45">
      <c r="A51" s="3" t="s">
        <v>19</v>
      </c>
      <c r="B51" s="17"/>
      <c r="C51" s="17" t="s">
        <v>26</v>
      </c>
      <c r="D51" s="18" t="s">
        <v>30</v>
      </c>
      <c r="E51" s="17"/>
      <c r="F51" s="17" t="s">
        <v>39</v>
      </c>
      <c r="G51" s="17"/>
      <c r="H51" s="18" t="s">
        <v>86</v>
      </c>
      <c r="I51" s="17"/>
      <c r="J51" s="17" t="s">
        <v>42</v>
      </c>
    </row>
    <row r="52" spans="1:10" ht="43.5" x14ac:dyDescent="0.35">
      <c r="A52" s="3"/>
      <c r="B52" s="8" t="s">
        <v>64</v>
      </c>
      <c r="D52" s="17"/>
      <c r="E52" s="8" t="s">
        <v>65</v>
      </c>
      <c r="H52" s="8" t="s">
        <v>75</v>
      </c>
      <c r="I52" s="8" t="s">
        <v>87</v>
      </c>
    </row>
    <row r="53" spans="1:10" x14ac:dyDescent="0.35">
      <c r="A53" s="6" t="s">
        <v>12</v>
      </c>
      <c r="B53" s="4">
        <f>_xlfn.NORM.S.INV(0.95)*SQRT(SUM($K$5:$K$6))*B47</f>
        <v>113.32226792342648</v>
      </c>
      <c r="D53" s="6" t="s">
        <v>12</v>
      </c>
      <c r="E53" s="22">
        <f>((C47*$K$5))/2</f>
        <v>272.76</v>
      </c>
      <c r="H53" s="6" t="s">
        <v>12</v>
      </c>
      <c r="I53" s="35">
        <f>365*C47*$P$7*($K$4/365)</f>
        <v>14933.61</v>
      </c>
    </row>
    <row r="54" spans="1:10" x14ac:dyDescent="0.35">
      <c r="A54" s="6" t="s">
        <v>13</v>
      </c>
      <c r="B54" s="4">
        <f t="shared" ref="B54:B55" si="28">_xlfn.NORM.S.INV(0.95)*SQRT(SUM($K$5:$K$6))*B48</f>
        <v>110.95151499119109</v>
      </c>
      <c r="D54" s="6" t="s">
        <v>13</v>
      </c>
      <c r="E54" s="22">
        <f>(($K$5*C48))/2</f>
        <v>79.289999999999992</v>
      </c>
      <c r="H54" s="6" t="s">
        <v>13</v>
      </c>
      <c r="I54" s="35">
        <f t="shared" ref="I54:I55" si="29">365*C48*$P$7*($K$4/365)</f>
        <v>4341.1275000000005</v>
      </c>
    </row>
    <row r="55" spans="1:10" x14ac:dyDescent="0.35">
      <c r="A55" s="6" t="s">
        <v>14</v>
      </c>
      <c r="B55" s="4">
        <f t="shared" si="28"/>
        <v>57.822697410083208</v>
      </c>
      <c r="D55" s="6" t="s">
        <v>14</v>
      </c>
      <c r="E55" s="22">
        <f>(($K$5*C49))/2</f>
        <v>19.47</v>
      </c>
      <c r="H55" s="6" t="s">
        <v>14</v>
      </c>
      <c r="I55" s="35">
        <f t="shared" si="29"/>
        <v>1065.9824999999998</v>
      </c>
    </row>
    <row r="56" spans="1:10" x14ac:dyDescent="0.35">
      <c r="D56" s="3"/>
      <c r="E56" s="26"/>
      <c r="F56" s="26"/>
      <c r="G56" s="26"/>
      <c r="H56" s="26"/>
      <c r="I56" s="26"/>
    </row>
    <row r="57" spans="1:10" x14ac:dyDescent="0.35">
      <c r="A57" s="13" t="s">
        <v>76</v>
      </c>
      <c r="B57" s="13" t="s">
        <v>51</v>
      </c>
      <c r="D57" s="3"/>
      <c r="E57" s="45" t="s">
        <v>76</v>
      </c>
      <c r="F57" s="47" t="s">
        <v>47</v>
      </c>
      <c r="G57" s="26"/>
      <c r="H57" s="47" t="s">
        <v>77</v>
      </c>
      <c r="I57" s="26"/>
    </row>
    <row r="58" spans="1:10" x14ac:dyDescent="0.35">
      <c r="A58" s="6" t="s">
        <v>12</v>
      </c>
      <c r="B58" s="36">
        <f>C47*365*$K$12</f>
        <v>9623.8819999999996</v>
      </c>
      <c r="E58" s="6" t="s">
        <v>12</v>
      </c>
      <c r="F58" s="36">
        <f>(SUM(B53,E53)*$K$4) + I53</f>
        <v>36071.614168807602</v>
      </c>
      <c r="H58" s="36">
        <f>SUM(B58,F58)*O1</f>
        <v>456954.96168807603</v>
      </c>
    </row>
    <row r="59" spans="1:10" x14ac:dyDescent="0.35">
      <c r="A59" s="6" t="s">
        <v>13</v>
      </c>
      <c r="B59" s="36">
        <f t="shared" ref="B59:B60" si="30">C48*365*$K$12</f>
        <v>2797.6154999999999</v>
      </c>
      <c r="E59" s="6" t="s">
        <v>13</v>
      </c>
      <c r="F59" s="36">
        <f t="shared" ref="F59:F60" si="31">(SUM(B54,E54)*$K$4) + I54</f>
        <v>14756.850445767712</v>
      </c>
      <c r="H59" s="36">
        <f t="shared" ref="H59" si="32">SUM(B59,F59)*O2</f>
        <v>351089.3189153542</v>
      </c>
    </row>
    <row r="60" spans="1:10" x14ac:dyDescent="0.35">
      <c r="A60" s="6" t="s">
        <v>14</v>
      </c>
      <c r="B60" s="36">
        <f t="shared" si="30"/>
        <v>686.96649999999988</v>
      </c>
      <c r="E60" s="6" t="s">
        <v>14</v>
      </c>
      <c r="F60" s="36">
        <f t="shared" si="31"/>
        <v>5297.7576832020559</v>
      </c>
      <c r="H60" s="36">
        <f>SUM(B60,F60)*O3</f>
        <v>418930.69282414386</v>
      </c>
    </row>
    <row r="61" spans="1:10" x14ac:dyDescent="0.35">
      <c r="G61" s="21" t="s">
        <v>66</v>
      </c>
      <c r="H61" s="54">
        <f>SUM(H58:H60)</f>
        <v>1226974.9734275742</v>
      </c>
    </row>
    <row r="62" spans="1:10" ht="15" customHeight="1" x14ac:dyDescent="0.35">
      <c r="G62" s="21"/>
      <c r="H62" s="53"/>
    </row>
    <row r="63" spans="1:10" x14ac:dyDescent="0.35">
      <c r="G63" s="21"/>
      <c r="H63" s="53"/>
    </row>
    <row r="64" spans="1:10" x14ac:dyDescent="0.35">
      <c r="A64" s="13" t="s">
        <v>78</v>
      </c>
      <c r="B64" s="45" t="s">
        <v>79</v>
      </c>
      <c r="H64" s="34"/>
    </row>
    <row r="65" spans="1:5" x14ac:dyDescent="0.35">
      <c r="A65">
        <f>C47*365*O1</f>
        <v>331858</v>
      </c>
    </row>
    <row r="66" spans="1:5" x14ac:dyDescent="0.35">
      <c r="A66">
        <f t="shared" ref="A66:A67" si="33">C48*365*O2</f>
        <v>192939</v>
      </c>
    </row>
    <row r="67" spans="1:5" x14ac:dyDescent="0.35">
      <c r="A67">
        <f t="shared" si="33"/>
        <v>165819.5</v>
      </c>
    </row>
    <row r="68" spans="1:5" x14ac:dyDescent="0.35">
      <c r="A68" s="48">
        <f>SUM(A65:A67)</f>
        <v>690616.5</v>
      </c>
      <c r="E68" s="40"/>
    </row>
    <row r="69" spans="1:5" x14ac:dyDescent="0.35">
      <c r="A69" s="4">
        <f>A68/1000</f>
        <v>690.61649999999997</v>
      </c>
      <c r="B69" s="49">
        <f xml:space="preserve"> -0.0009*(A69^3) + 0.3998*(A69^2) + 2000.5*(A69) + 396.83</f>
        <v>1276208.9075084007</v>
      </c>
    </row>
    <row r="71" spans="1:5" x14ac:dyDescent="0.35">
      <c r="A71" s="40" t="s">
        <v>80</v>
      </c>
      <c r="D71" s="40"/>
    </row>
    <row r="72" spans="1:5" x14ac:dyDescent="0.35">
      <c r="A72" s="48" t="s">
        <v>81</v>
      </c>
      <c r="B72" s="48" t="s">
        <v>80</v>
      </c>
      <c r="D72" s="48" t="s">
        <v>88</v>
      </c>
      <c r="E72" s="40"/>
    </row>
    <row r="73" spans="1:5" x14ac:dyDescent="0.35">
      <c r="A73" s="4">
        <v>0</v>
      </c>
      <c r="B73" s="55">
        <f>PMT($O$5,3,$B$69)</f>
        <v>-531348.2776220846</v>
      </c>
      <c r="D73" s="52">
        <f>O33-H61</f>
        <v>147720.64457393484</v>
      </c>
      <c r="E73" s="50"/>
    </row>
    <row r="74" spans="1:5" x14ac:dyDescent="0.35">
      <c r="A74" s="4">
        <v>1</v>
      </c>
      <c r="B74" s="55">
        <f t="shared" ref="B74:B75" si="34">PMT($O$5,3,$B$69)</f>
        <v>-531348.2776220846</v>
      </c>
      <c r="E74" s="50"/>
    </row>
    <row r="75" spans="1:5" x14ac:dyDescent="0.35">
      <c r="A75" s="4">
        <v>2</v>
      </c>
      <c r="B75" s="55">
        <f t="shared" si="34"/>
        <v>-531348.2776220846</v>
      </c>
      <c r="D75" t="s">
        <v>89</v>
      </c>
      <c r="E75" s="50"/>
    </row>
    <row r="76" spans="1:5" x14ac:dyDescent="0.35">
      <c r="A76" s="4">
        <v>3</v>
      </c>
      <c r="B76" s="55">
        <f>5*50000</f>
        <v>250000</v>
      </c>
      <c r="D76">
        <f>B77/D73</f>
        <v>-8.4714558216656055</v>
      </c>
      <c r="E76" s="50"/>
    </row>
    <row r="77" spans="1:5" x14ac:dyDescent="0.35">
      <c r="A77" s="56" t="s">
        <v>82</v>
      </c>
      <c r="B77" s="55">
        <f>NPV(O5, B74:B76)+B73</f>
        <v>-1251408.914456056</v>
      </c>
      <c r="E77" s="34"/>
    </row>
    <row r="78" spans="1:5" x14ac:dyDescent="0.35">
      <c r="D78" t="s">
        <v>90</v>
      </c>
      <c r="E78" s="50"/>
    </row>
    <row r="79" spans="1:5" x14ac:dyDescent="0.35">
      <c r="E79" s="50"/>
    </row>
    <row r="80" spans="1:5" x14ac:dyDescent="0.35">
      <c r="D80" s="51"/>
      <c r="E80" s="50"/>
    </row>
  </sheetData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0"/>
  <sheetViews>
    <sheetView topLeftCell="A64" zoomScaleNormal="100" workbookViewId="0">
      <selection activeCell="D76" sqref="D76"/>
    </sheetView>
  </sheetViews>
  <sheetFormatPr defaultRowHeight="14.5" x14ac:dyDescent="0.35"/>
  <cols>
    <col min="1" max="1" width="18.54296875" customWidth="1"/>
    <col min="2" max="2" width="13.90625" bestFit="1" customWidth="1"/>
    <col min="3" max="3" width="11.36328125" customWidth="1"/>
    <col min="4" max="4" width="12.6328125" customWidth="1"/>
    <col min="5" max="5" width="16.81640625" customWidth="1"/>
    <col min="6" max="6" width="16.90625" customWidth="1"/>
    <col min="7" max="7" width="13.453125" customWidth="1"/>
    <col min="8" max="8" width="14.90625" bestFit="1" customWidth="1"/>
    <col min="9" max="9" width="11.08984375" bestFit="1" customWidth="1"/>
    <col min="10" max="12" width="12.1796875" bestFit="1" customWidth="1"/>
    <col min="13" max="13" width="15.453125" customWidth="1"/>
    <col min="14" max="14" width="12.1796875" bestFit="1" customWidth="1"/>
    <col min="15" max="15" width="14.90625" bestFit="1" customWidth="1"/>
    <col min="17" max="17" width="12.1796875" bestFit="1" customWidth="1"/>
    <col min="18" max="18" width="14.1796875" customWidth="1"/>
    <col min="19" max="19" width="14.08984375" customWidth="1"/>
    <col min="20" max="20" width="13" customWidth="1"/>
    <col min="21" max="21" width="13.6328125" customWidth="1"/>
    <col min="24" max="28" width="12.1796875" bestFit="1" customWidth="1"/>
    <col min="30" max="30" width="10.1796875" bestFit="1" customWidth="1"/>
  </cols>
  <sheetData>
    <row r="1" spans="1:30" ht="15" thickBot="1" x14ac:dyDescent="0.4">
      <c r="A1" s="1"/>
      <c r="B1" s="8" t="s">
        <v>0</v>
      </c>
      <c r="C1" s="8" t="s">
        <v>1</v>
      </c>
      <c r="D1" s="8" t="s">
        <v>2</v>
      </c>
      <c r="E1" s="8" t="s">
        <v>3</v>
      </c>
      <c r="F1" s="8" t="s">
        <v>4</v>
      </c>
      <c r="G1" s="19" t="s">
        <v>100</v>
      </c>
      <c r="I1" s="41" t="s">
        <v>49</v>
      </c>
      <c r="J1" t="s">
        <v>52</v>
      </c>
      <c r="K1" s="34">
        <v>0.09</v>
      </c>
      <c r="L1" s="43" t="s">
        <v>54</v>
      </c>
      <c r="N1" s="21" t="s">
        <v>58</v>
      </c>
      <c r="O1">
        <v>10</v>
      </c>
    </row>
    <row r="2" spans="1:30" ht="15" thickBot="1" x14ac:dyDescent="0.4">
      <c r="A2" s="9" t="s">
        <v>5</v>
      </c>
      <c r="B2" s="2">
        <v>35.479999999999997</v>
      </c>
      <c r="C2" s="2">
        <v>22.61</v>
      </c>
      <c r="D2" s="2">
        <v>17.66</v>
      </c>
      <c r="E2" s="2">
        <v>11.81</v>
      </c>
      <c r="F2" s="2">
        <v>3.36</v>
      </c>
      <c r="G2">
        <f>SUM(B2:F2)*$O$1</f>
        <v>909.2</v>
      </c>
      <c r="I2" s="21" t="s">
        <v>50</v>
      </c>
      <c r="J2" t="s">
        <v>53</v>
      </c>
      <c r="K2" s="34">
        <v>0.1</v>
      </c>
      <c r="L2" s="43" t="s">
        <v>54</v>
      </c>
      <c r="N2" s="21" t="s">
        <v>59</v>
      </c>
      <c r="O2">
        <v>20</v>
      </c>
    </row>
    <row r="3" spans="1:30" ht="15" thickBot="1" x14ac:dyDescent="0.4">
      <c r="A3" s="9" t="s">
        <v>6</v>
      </c>
      <c r="B3" s="2">
        <v>6.98</v>
      </c>
      <c r="C3" s="2">
        <v>6.48</v>
      </c>
      <c r="D3" s="2">
        <v>5.26</v>
      </c>
      <c r="E3" s="2">
        <v>3.48</v>
      </c>
      <c r="F3" s="2">
        <v>4.49</v>
      </c>
      <c r="I3" s="21" t="s">
        <v>51</v>
      </c>
      <c r="K3" s="42">
        <f>SUM(K1:K2)</f>
        <v>0.19</v>
      </c>
      <c r="L3" s="43" t="s">
        <v>54</v>
      </c>
      <c r="N3" s="21" t="s">
        <v>60</v>
      </c>
      <c r="O3">
        <v>70</v>
      </c>
    </row>
    <row r="4" spans="1:30" ht="15" thickBot="1" x14ac:dyDescent="0.4">
      <c r="A4" s="9" t="s">
        <v>15</v>
      </c>
      <c r="B4" s="2">
        <f>B3^2</f>
        <v>48.720400000000005</v>
      </c>
      <c r="C4" s="2">
        <f t="shared" ref="C4:F4" si="0">C3^2</f>
        <v>41.990400000000008</v>
      </c>
      <c r="D4" s="2">
        <f t="shared" si="0"/>
        <v>27.667599999999997</v>
      </c>
      <c r="E4" s="2">
        <f t="shared" si="0"/>
        <v>12.1104</v>
      </c>
      <c r="F4" s="2">
        <f t="shared" si="0"/>
        <v>20.160100000000003</v>
      </c>
      <c r="I4" s="21" t="s">
        <v>36</v>
      </c>
      <c r="J4" t="s">
        <v>37</v>
      </c>
      <c r="K4" s="34">
        <f>0.15*365</f>
        <v>54.75</v>
      </c>
      <c r="L4" t="s">
        <v>38</v>
      </c>
      <c r="N4" s="34"/>
    </row>
    <row r="5" spans="1:30" ht="15" thickBot="1" x14ac:dyDescent="0.4">
      <c r="A5" s="9" t="s">
        <v>7</v>
      </c>
      <c r="B5" s="2">
        <v>2.48</v>
      </c>
      <c r="C5" s="2">
        <v>4.1500000000000004</v>
      </c>
      <c r="D5" s="2">
        <v>6.15</v>
      </c>
      <c r="E5" s="2">
        <v>6.16</v>
      </c>
      <c r="F5" s="2">
        <v>7.49</v>
      </c>
      <c r="G5">
        <f>SUM(B5:F5)*$O$2</f>
        <v>528.6</v>
      </c>
      <c r="I5" s="21" t="s">
        <v>21</v>
      </c>
      <c r="J5" t="s">
        <v>24</v>
      </c>
      <c r="K5">
        <v>6</v>
      </c>
      <c r="L5" t="s">
        <v>22</v>
      </c>
      <c r="N5" t="s">
        <v>91</v>
      </c>
      <c r="O5" s="57">
        <v>0.12</v>
      </c>
    </row>
    <row r="6" spans="1:30" ht="25.5" thickBot="1" x14ac:dyDescent="0.55000000000000004">
      <c r="A6" s="9" t="s">
        <v>8</v>
      </c>
      <c r="B6" s="2">
        <v>3.16</v>
      </c>
      <c r="C6" s="2">
        <v>6.2</v>
      </c>
      <c r="D6" s="2">
        <v>6.39</v>
      </c>
      <c r="E6" s="2">
        <v>6.76</v>
      </c>
      <c r="F6" s="2">
        <v>3.56</v>
      </c>
      <c r="I6" s="21" t="s">
        <v>23</v>
      </c>
      <c r="J6" t="s">
        <v>25</v>
      </c>
      <c r="K6">
        <v>5</v>
      </c>
      <c r="L6" t="s">
        <v>22</v>
      </c>
      <c r="N6" s="23"/>
    </row>
    <row r="7" spans="1:30" ht="15" thickBot="1" x14ac:dyDescent="0.4">
      <c r="A7" s="9" t="s">
        <v>16</v>
      </c>
      <c r="B7" s="2">
        <f>B6^2</f>
        <v>9.9856000000000016</v>
      </c>
      <c r="C7" s="2">
        <f t="shared" ref="C7:F7" si="1">C6^2</f>
        <v>38.440000000000005</v>
      </c>
      <c r="D7" s="2">
        <f t="shared" si="1"/>
        <v>40.832099999999997</v>
      </c>
      <c r="E7" s="2">
        <f t="shared" si="1"/>
        <v>45.697599999999994</v>
      </c>
      <c r="F7" s="2">
        <f t="shared" si="1"/>
        <v>12.6736</v>
      </c>
      <c r="I7" s="21" t="s">
        <v>72</v>
      </c>
      <c r="K7" s="24">
        <v>4</v>
      </c>
      <c r="L7" t="s">
        <v>22</v>
      </c>
      <c r="M7" s="25" t="s">
        <v>29</v>
      </c>
      <c r="O7" s="21" t="s">
        <v>73</v>
      </c>
      <c r="P7" s="24">
        <v>3</v>
      </c>
      <c r="Q7" t="s">
        <v>22</v>
      </c>
    </row>
    <row r="8" spans="1:30" ht="15" thickBot="1" x14ac:dyDescent="0.4">
      <c r="A8" s="9" t="s">
        <v>9</v>
      </c>
      <c r="B8" s="2">
        <v>0.48</v>
      </c>
      <c r="C8" s="2">
        <v>0.73</v>
      </c>
      <c r="D8" s="2">
        <v>0.8</v>
      </c>
      <c r="E8" s="2">
        <v>1.94</v>
      </c>
      <c r="F8" s="2">
        <v>2.54</v>
      </c>
      <c r="G8">
        <f>SUM(B8:F8)*$O$3</f>
        <v>454.3</v>
      </c>
      <c r="H8" s="11" t="s">
        <v>18</v>
      </c>
    </row>
    <row r="9" spans="1:30" ht="15" thickBot="1" x14ac:dyDescent="0.4">
      <c r="A9" s="9" t="s">
        <v>10</v>
      </c>
      <c r="B9" s="2">
        <v>1.98</v>
      </c>
      <c r="C9" s="2">
        <v>1.42</v>
      </c>
      <c r="D9" s="2">
        <v>2.39</v>
      </c>
      <c r="E9" s="2">
        <v>3.76</v>
      </c>
      <c r="F9" s="2">
        <v>3.98</v>
      </c>
      <c r="H9" s="12">
        <v>0</v>
      </c>
    </row>
    <row r="10" spans="1:30" x14ac:dyDescent="0.35">
      <c r="A10" s="10" t="s">
        <v>17</v>
      </c>
      <c r="B10" s="2">
        <f>B9^2</f>
        <v>3.9203999999999999</v>
      </c>
      <c r="C10" s="2">
        <f t="shared" ref="C10:F10" si="2">C9^2</f>
        <v>2.0164</v>
      </c>
      <c r="D10" s="2">
        <f t="shared" si="2"/>
        <v>5.7121000000000004</v>
      </c>
      <c r="E10" s="2">
        <f t="shared" si="2"/>
        <v>14.137599999999999</v>
      </c>
      <c r="F10" s="2">
        <f t="shared" si="2"/>
        <v>15.840400000000001</v>
      </c>
      <c r="H10" s="7"/>
      <c r="I10" s="21" t="s">
        <v>68</v>
      </c>
      <c r="K10" s="34">
        <f>0.05</f>
        <v>0.05</v>
      </c>
      <c r="L10" t="s">
        <v>54</v>
      </c>
    </row>
    <row r="11" spans="1:30" x14ac:dyDescent="0.35">
      <c r="I11" s="21" t="s">
        <v>69</v>
      </c>
      <c r="K11" s="34">
        <v>0.24</v>
      </c>
      <c r="L11" t="s">
        <v>54</v>
      </c>
    </row>
    <row r="12" spans="1:30" s="17" customFormat="1" x14ac:dyDescent="0.35">
      <c r="A12" s="3"/>
      <c r="I12" s="21" t="s">
        <v>67</v>
      </c>
      <c r="K12" s="46">
        <f>SUM(K10:K11)</f>
        <v>0.28999999999999998</v>
      </c>
      <c r="L12" t="s">
        <v>54</v>
      </c>
    </row>
    <row r="13" spans="1:30" s="31" customFormat="1" x14ac:dyDescent="0.35">
      <c r="A13" s="30" t="s">
        <v>33</v>
      </c>
    </row>
    <row r="14" spans="1:30" s="17" customFormat="1" ht="19" x14ac:dyDescent="0.45">
      <c r="A14" s="3" t="s">
        <v>19</v>
      </c>
      <c r="D14" s="17" t="s">
        <v>26</v>
      </c>
      <c r="I14" s="18" t="s">
        <v>30</v>
      </c>
      <c r="M14" s="17" t="s">
        <v>71</v>
      </c>
      <c r="P14" s="18"/>
      <c r="W14" s="26"/>
      <c r="X14" s="26"/>
      <c r="Y14" s="26"/>
      <c r="Z14" s="26"/>
      <c r="AA14" s="26"/>
      <c r="AB14" s="26"/>
      <c r="AD14" s="24" t="s">
        <v>31</v>
      </c>
    </row>
    <row r="15" spans="1:30" s="17" customFormat="1" ht="29" x14ac:dyDescent="0.35">
      <c r="A15" s="3"/>
      <c r="B15" s="8" t="s">
        <v>0</v>
      </c>
      <c r="C15" s="8" t="s">
        <v>1</v>
      </c>
      <c r="D15" s="8" t="s">
        <v>2</v>
      </c>
      <c r="E15" s="8" t="s">
        <v>3</v>
      </c>
      <c r="F15" s="8" t="s">
        <v>4</v>
      </c>
      <c r="G15" s="19" t="s">
        <v>20</v>
      </c>
      <c r="J15" s="8" t="s">
        <v>0</v>
      </c>
      <c r="K15" s="8" t="s">
        <v>1</v>
      </c>
      <c r="L15" s="8" t="s">
        <v>2</v>
      </c>
      <c r="M15" s="8" t="s">
        <v>3</v>
      </c>
      <c r="N15" s="8" t="s">
        <v>4</v>
      </c>
      <c r="P15" s="26"/>
      <c r="Q15" s="39"/>
      <c r="R15" s="39"/>
      <c r="S15" s="39"/>
      <c r="T15" s="39"/>
      <c r="U15" s="39"/>
      <c r="W15" s="26"/>
      <c r="X15" s="39"/>
      <c r="Y15" s="39"/>
      <c r="Z15" s="39"/>
      <c r="AA15" s="39"/>
      <c r="AB15" s="39"/>
      <c r="AD15" s="24"/>
    </row>
    <row r="16" spans="1:30" s="17" customFormat="1" x14ac:dyDescent="0.35">
      <c r="A16" s="6" t="s">
        <v>12</v>
      </c>
      <c r="B16" s="4">
        <f>_xlfn.NORM.S.INV(0.95)*SQRT(SUM($K$5:$K$6))*B3</f>
        <v>38.07842896325964</v>
      </c>
      <c r="C16" s="4">
        <f>_xlfn.NORM.S.INV(0.95)*SQRT(SUM($K$5:$K$6))*C3</f>
        <v>35.350747805433016</v>
      </c>
      <c r="D16" s="4">
        <f>_xlfn.NORM.S.INV(0.95)*SQRT(SUM($K$5:$K$6))*D3</f>
        <v>28.695205780336057</v>
      </c>
      <c r="E16" s="4">
        <f>_xlfn.NORM.S.INV(0.95)*SQRT(SUM($K$5:$K$6))*E3</f>
        <v>18.984660858473287</v>
      </c>
      <c r="F16" s="4">
        <f>_xlfn.NORM.S.INV(0.95)*SQRT(SUM($K$5:$K$6))*F3</f>
        <v>24.494576797283063</v>
      </c>
      <c r="G16" s="20">
        <f>SUM(B16:F16)</f>
        <v>145.60362020478507</v>
      </c>
      <c r="I16" s="6" t="s">
        <v>12</v>
      </c>
      <c r="J16" s="22">
        <f>((B2*$K$5))/2</f>
        <v>106.44</v>
      </c>
      <c r="K16" s="22">
        <f t="shared" ref="K16:N16" si="3">((C2*$K$5))/2</f>
        <v>67.83</v>
      </c>
      <c r="L16" s="22">
        <f t="shared" si="3"/>
        <v>52.980000000000004</v>
      </c>
      <c r="M16" s="22">
        <f t="shared" si="3"/>
        <v>35.43</v>
      </c>
      <c r="N16" s="22">
        <f t="shared" si="3"/>
        <v>10.08</v>
      </c>
      <c r="P16" s="3"/>
      <c r="Q16" s="58"/>
      <c r="R16" s="26"/>
      <c r="S16" s="26"/>
      <c r="T16" s="26"/>
      <c r="U16" s="26"/>
      <c r="W16" s="3"/>
      <c r="X16" s="26"/>
      <c r="Y16" s="26"/>
      <c r="Z16" s="26"/>
      <c r="AA16" s="26"/>
      <c r="AB16" s="26"/>
      <c r="AD16" s="27">
        <f>X16*0.15</f>
        <v>0</v>
      </c>
    </row>
    <row r="17" spans="1:28" s="17" customFormat="1" x14ac:dyDescent="0.35">
      <c r="A17" s="6" t="s">
        <v>13</v>
      </c>
      <c r="B17" s="4">
        <f>_xlfn.NORM.S.INV(0.95)*SQRT(SUM($K$5:$K$6))*B6</f>
        <v>17.238944917464249</v>
      </c>
      <c r="C17" s="4">
        <f>_xlfn.NORM.S.INV(0.95)*SQRT(SUM($K$5:$K$6))*C6</f>
        <v>33.82324635705011</v>
      </c>
      <c r="D17" s="4">
        <f>_xlfn.NORM.S.INV(0.95)*SQRT(SUM($K$5:$K$6))*D6</f>
        <v>34.859765197024224</v>
      </c>
      <c r="E17" s="4">
        <f>_xlfn.NORM.S.INV(0.95)*SQRT(SUM($K$5:$K$6))*E6</f>
        <v>36.878249253815923</v>
      </c>
      <c r="F17" s="4">
        <f>_xlfn.NORM.S.INV(0.95)*SQRT(SUM($K$5:$K$6))*F6</f>
        <v>19.421089843725547</v>
      </c>
      <c r="G17" s="20">
        <f t="shared" ref="G17:G18" si="4">SUM(B17:F17)</f>
        <v>142.22129556908004</v>
      </c>
      <c r="I17" s="6" t="s">
        <v>13</v>
      </c>
      <c r="J17" s="22">
        <f>(($K$5*B5))/2</f>
        <v>7.4399999999999995</v>
      </c>
      <c r="K17" s="22">
        <f t="shared" ref="K17:N17" si="5">(($K$5*C5))/2</f>
        <v>12.450000000000001</v>
      </c>
      <c r="L17" s="22">
        <f t="shared" si="5"/>
        <v>18.450000000000003</v>
      </c>
      <c r="M17" s="22">
        <f t="shared" si="5"/>
        <v>18.48</v>
      </c>
      <c r="N17" s="22">
        <f t="shared" si="5"/>
        <v>22.47</v>
      </c>
      <c r="P17" s="3"/>
      <c r="Q17" s="26"/>
      <c r="R17" s="26"/>
      <c r="S17" s="26"/>
      <c r="T17" s="26"/>
      <c r="U17" s="26"/>
      <c r="W17" s="3"/>
      <c r="X17" s="26"/>
      <c r="Y17" s="26"/>
      <c r="Z17" s="26"/>
      <c r="AA17" s="26"/>
      <c r="AB17" s="26"/>
    </row>
    <row r="18" spans="1:28" s="17" customFormat="1" x14ac:dyDescent="0.35">
      <c r="A18" s="6" t="s">
        <v>14</v>
      </c>
      <c r="B18" s="4">
        <f>_xlfn.NORM.S.INV(0.95)*SQRT(SUM($K$5:$K$6))*B9</f>
        <v>10.801617384993421</v>
      </c>
      <c r="C18" s="4">
        <f t="shared" ref="C18:F18" si="6">_xlfn.NORM.S.INV(0.95)*SQRT(SUM($K$5:$K$6))*C9</f>
        <v>7.7466144882276051</v>
      </c>
      <c r="D18" s="4">
        <f t="shared" si="6"/>
        <v>13.038315934411251</v>
      </c>
      <c r="E18" s="4">
        <f t="shared" si="6"/>
        <v>20.512162306856194</v>
      </c>
      <c r="F18" s="4">
        <f t="shared" si="6"/>
        <v>21.712342016299907</v>
      </c>
      <c r="G18" s="20">
        <f t="shared" si="4"/>
        <v>73.811052130788369</v>
      </c>
      <c r="I18" s="6" t="s">
        <v>14</v>
      </c>
      <c r="J18" s="22">
        <f>(($K$5*B8))/2</f>
        <v>1.44</v>
      </c>
      <c r="K18" s="22">
        <f t="shared" ref="K18:N18" si="7">(($K$5*C8))/2</f>
        <v>2.19</v>
      </c>
      <c r="L18" s="22">
        <f t="shared" si="7"/>
        <v>2.4000000000000004</v>
      </c>
      <c r="M18" s="22">
        <f t="shared" si="7"/>
        <v>5.82</v>
      </c>
      <c r="N18" s="22">
        <f t="shared" si="7"/>
        <v>7.62</v>
      </c>
      <c r="P18" s="3"/>
      <c r="Q18" s="26"/>
      <c r="R18" s="26"/>
      <c r="S18" s="26"/>
      <c r="T18" s="26"/>
      <c r="U18" s="26"/>
      <c r="W18" s="3"/>
      <c r="X18" s="26"/>
      <c r="Y18" s="26"/>
      <c r="Z18" s="26"/>
      <c r="AA18" s="26"/>
      <c r="AB18" s="26"/>
    </row>
    <row r="19" spans="1:28" s="17" customFormat="1" x14ac:dyDescent="0.35">
      <c r="A19" s="3"/>
      <c r="B19" s="28"/>
      <c r="C19" s="28"/>
      <c r="D19" s="28"/>
      <c r="E19" s="28"/>
      <c r="F19" s="28"/>
      <c r="G19" s="29"/>
      <c r="I19" s="3"/>
      <c r="J19" s="26"/>
      <c r="K19" s="26"/>
      <c r="L19" s="26"/>
      <c r="M19" s="26"/>
      <c r="N19" s="26"/>
      <c r="P19" s="3"/>
      <c r="Q19" s="26"/>
      <c r="R19" s="26"/>
      <c r="S19" s="26"/>
      <c r="T19" s="26"/>
      <c r="U19" s="26"/>
      <c r="W19" s="3"/>
      <c r="X19" s="26"/>
      <c r="Y19" s="26"/>
      <c r="Z19" s="26"/>
      <c r="AA19" s="26"/>
      <c r="AB19" s="26"/>
    </row>
    <row r="20" spans="1:28" s="17" customFormat="1" x14ac:dyDescent="0.35">
      <c r="A20" s="3"/>
      <c r="B20" s="28"/>
      <c r="C20" s="28"/>
      <c r="D20" s="28"/>
      <c r="E20" s="28"/>
      <c r="F20" s="28"/>
      <c r="G20" s="29"/>
      <c r="I20" s="3"/>
      <c r="J20" s="26"/>
      <c r="K20" s="26"/>
      <c r="L20" s="26"/>
      <c r="M20" s="26"/>
      <c r="N20" s="26"/>
      <c r="P20" s="3"/>
      <c r="Q20" s="26"/>
      <c r="R20" s="26"/>
      <c r="S20" s="26"/>
      <c r="T20" s="26"/>
      <c r="U20" s="26"/>
      <c r="W20" s="3"/>
      <c r="X20" s="26"/>
      <c r="Y20" s="26"/>
      <c r="Z20" s="26"/>
      <c r="AA20" s="26"/>
      <c r="AB20" s="26"/>
    </row>
    <row r="21" spans="1:28" s="17" customFormat="1" x14ac:dyDescent="0.35">
      <c r="A21" s="3" t="s">
        <v>46</v>
      </c>
      <c r="D21" s="17" t="s">
        <v>62</v>
      </c>
      <c r="I21" s="18" t="s">
        <v>43</v>
      </c>
      <c r="M21" s="17" t="s">
        <v>45</v>
      </c>
      <c r="P21" s="18" t="s">
        <v>44</v>
      </c>
      <c r="W21" s="3" t="s">
        <v>47</v>
      </c>
      <c r="X21" s="26"/>
      <c r="Y21" s="26"/>
      <c r="Z21" s="26"/>
      <c r="AA21" s="26"/>
      <c r="AB21" s="26"/>
    </row>
    <row r="22" spans="1:28" s="17" customFormat="1" x14ac:dyDescent="0.35">
      <c r="A22" s="3"/>
      <c r="B22" s="8" t="s">
        <v>0</v>
      </c>
      <c r="C22" s="8" t="s">
        <v>1</v>
      </c>
      <c r="D22" s="8" t="s">
        <v>2</v>
      </c>
      <c r="E22" s="8" t="s">
        <v>3</v>
      </c>
      <c r="F22" s="8" t="s">
        <v>4</v>
      </c>
      <c r="G22" s="38"/>
      <c r="J22" s="8" t="s">
        <v>0</v>
      </c>
      <c r="K22" s="8" t="s">
        <v>1</v>
      </c>
      <c r="L22" s="8" t="s">
        <v>2</v>
      </c>
      <c r="M22" s="8" t="s">
        <v>3</v>
      </c>
      <c r="N22" s="8" t="s">
        <v>4</v>
      </c>
      <c r="Q22" s="8" t="s">
        <v>0</v>
      </c>
      <c r="R22" s="8" t="s">
        <v>1</v>
      </c>
      <c r="S22" s="8" t="s">
        <v>2</v>
      </c>
      <c r="T22" s="8" t="s">
        <v>3</v>
      </c>
      <c r="U22" s="8" t="s">
        <v>4</v>
      </c>
      <c r="X22" s="8" t="s">
        <v>0</v>
      </c>
      <c r="Y22" s="8" t="s">
        <v>1</v>
      </c>
      <c r="Z22" s="8" t="s">
        <v>2</v>
      </c>
      <c r="AA22" s="8" t="s">
        <v>3</v>
      </c>
      <c r="AB22" s="8" t="s">
        <v>4</v>
      </c>
    </row>
    <row r="23" spans="1:28" s="17" customFormat="1" x14ac:dyDescent="0.35">
      <c r="A23" s="6" t="s">
        <v>12</v>
      </c>
      <c r="B23" s="36">
        <f>B16*$K$4</f>
        <v>2084.7939857384654</v>
      </c>
      <c r="C23" s="36">
        <f t="shared" ref="C23:F23" si="8">C16*$K$4</f>
        <v>1935.4534423474577</v>
      </c>
      <c r="D23" s="36">
        <f t="shared" si="8"/>
        <v>1571.062516473399</v>
      </c>
      <c r="E23" s="36">
        <f t="shared" si="8"/>
        <v>1039.4101820014125</v>
      </c>
      <c r="F23" s="36">
        <f t="shared" si="8"/>
        <v>1341.0780796512477</v>
      </c>
      <c r="G23" s="37"/>
      <c r="I23" s="6" t="s">
        <v>12</v>
      </c>
      <c r="J23" s="35">
        <f>J16*$K$4</f>
        <v>5827.59</v>
      </c>
      <c r="K23" s="35">
        <f t="shared" ref="K23:N23" si="9">K16*$K$4</f>
        <v>3713.6925000000001</v>
      </c>
      <c r="L23" s="35">
        <f t="shared" si="9"/>
        <v>2900.6550000000002</v>
      </c>
      <c r="M23" s="35">
        <f t="shared" si="9"/>
        <v>1939.7925</v>
      </c>
      <c r="N23" s="35">
        <f t="shared" si="9"/>
        <v>551.88</v>
      </c>
      <c r="P23" s="6" t="s">
        <v>12</v>
      </c>
      <c r="Q23" s="35">
        <f>365*B2*$K$7*($K$4/365)</f>
        <v>7770.119999999999</v>
      </c>
      <c r="R23" s="35">
        <f t="shared" ref="R23:U23" si="10">365*C2*$K$7*($K$4/365)</f>
        <v>4951.5899999999992</v>
      </c>
      <c r="S23" s="35">
        <f t="shared" si="10"/>
        <v>3867.5399999999995</v>
      </c>
      <c r="T23" s="35">
        <f t="shared" si="10"/>
        <v>2586.3900000000003</v>
      </c>
      <c r="U23" s="35">
        <f t="shared" si="10"/>
        <v>735.83999999999992</v>
      </c>
      <c r="W23" s="6" t="s">
        <v>12</v>
      </c>
      <c r="X23" s="35">
        <f>Q23+J23+B23</f>
        <v>15682.503985738465</v>
      </c>
      <c r="Y23" s="35">
        <f t="shared" ref="Y23:AB25" si="11">R23+K23+C23</f>
        <v>10600.735942347457</v>
      </c>
      <c r="Z23" s="35">
        <f t="shared" si="11"/>
        <v>8339.2575164733989</v>
      </c>
      <c r="AA23" s="35">
        <f t="shared" si="11"/>
        <v>5565.5926820014138</v>
      </c>
      <c r="AB23" s="35">
        <f t="shared" si="11"/>
        <v>2628.7980796512475</v>
      </c>
    </row>
    <row r="24" spans="1:28" s="17" customFormat="1" x14ac:dyDescent="0.35">
      <c r="A24" s="6" t="s">
        <v>13</v>
      </c>
      <c r="B24" s="36">
        <f t="shared" ref="B24:F25" si="12">B17*$K$4</f>
        <v>943.8322342311676</v>
      </c>
      <c r="C24" s="36">
        <f t="shared" si="12"/>
        <v>1851.8227380484934</v>
      </c>
      <c r="D24" s="36">
        <f t="shared" si="12"/>
        <v>1908.5721445370762</v>
      </c>
      <c r="E24" s="36">
        <f t="shared" si="12"/>
        <v>2019.0841466464217</v>
      </c>
      <c r="F24" s="36">
        <f t="shared" si="12"/>
        <v>1063.3046689439736</v>
      </c>
      <c r="G24" s="37"/>
      <c r="I24" s="6" t="s">
        <v>13</v>
      </c>
      <c r="J24" s="35">
        <f t="shared" ref="J24:N25" si="13">J17*$K$4</f>
        <v>407.34</v>
      </c>
      <c r="K24" s="35">
        <f t="shared" si="13"/>
        <v>681.63750000000005</v>
      </c>
      <c r="L24" s="35">
        <f t="shared" si="13"/>
        <v>1010.1375000000002</v>
      </c>
      <c r="M24" s="35">
        <f t="shared" si="13"/>
        <v>1011.78</v>
      </c>
      <c r="N24" s="35">
        <f t="shared" si="13"/>
        <v>1230.2324999999998</v>
      </c>
      <c r="P24" s="6" t="s">
        <v>13</v>
      </c>
      <c r="Q24" s="35">
        <f>365*B5*$K$7*($K$4/365)</f>
        <v>543.12</v>
      </c>
      <c r="R24" s="35">
        <f t="shared" ref="R24:U24" si="14">365*C5*$K$7*($K$4/365)</f>
        <v>908.85000000000014</v>
      </c>
      <c r="S24" s="35">
        <f t="shared" si="14"/>
        <v>1346.85</v>
      </c>
      <c r="T24" s="35">
        <f t="shared" si="14"/>
        <v>1349.04</v>
      </c>
      <c r="U24" s="35">
        <f t="shared" si="14"/>
        <v>1640.31</v>
      </c>
      <c r="W24" s="6" t="s">
        <v>13</v>
      </c>
      <c r="X24" s="35">
        <f t="shared" ref="X24:X25" si="15">Q24+J24+B24</f>
        <v>1894.2922342311676</v>
      </c>
      <c r="Y24" s="35">
        <f t="shared" si="11"/>
        <v>3442.3102380484934</v>
      </c>
      <c r="Z24" s="35">
        <f t="shared" si="11"/>
        <v>4265.5596445370766</v>
      </c>
      <c r="AA24" s="35">
        <f t="shared" si="11"/>
        <v>4379.9041466464214</v>
      </c>
      <c r="AB24" s="35">
        <f t="shared" si="11"/>
        <v>3933.847168943973</v>
      </c>
    </row>
    <row r="25" spans="1:28" s="17" customFormat="1" x14ac:dyDescent="0.35">
      <c r="A25" s="6" t="s">
        <v>14</v>
      </c>
      <c r="B25" s="36">
        <f t="shared" si="12"/>
        <v>591.38855182838972</v>
      </c>
      <c r="C25" s="36">
        <f t="shared" si="12"/>
        <v>424.1271432304614</v>
      </c>
      <c r="D25" s="36">
        <f t="shared" si="12"/>
        <v>713.84779740901604</v>
      </c>
      <c r="E25" s="36">
        <f t="shared" si="12"/>
        <v>1123.0408863003765</v>
      </c>
      <c r="F25" s="36">
        <f t="shared" si="12"/>
        <v>1188.75072539242</v>
      </c>
      <c r="G25" s="37"/>
      <c r="I25" s="6" t="s">
        <v>14</v>
      </c>
      <c r="J25" s="35">
        <f t="shared" si="13"/>
        <v>78.84</v>
      </c>
      <c r="K25" s="35">
        <f t="shared" si="13"/>
        <v>119.9025</v>
      </c>
      <c r="L25" s="35">
        <f t="shared" si="13"/>
        <v>131.4</v>
      </c>
      <c r="M25" s="35">
        <f t="shared" si="13"/>
        <v>318.64500000000004</v>
      </c>
      <c r="N25" s="35">
        <f t="shared" si="13"/>
        <v>417.19499999999999</v>
      </c>
      <c r="P25" s="6" t="s">
        <v>14</v>
      </c>
      <c r="Q25" s="35">
        <f>365*B8*$K$7*($K$4/365)</f>
        <v>105.11999999999999</v>
      </c>
      <c r="R25" s="35">
        <f t="shared" ref="R25:U25" si="16">365*C8*$K$7*($K$4/365)</f>
        <v>159.86999999999998</v>
      </c>
      <c r="S25" s="35">
        <f t="shared" si="16"/>
        <v>175.2</v>
      </c>
      <c r="T25" s="35">
        <f t="shared" si="16"/>
        <v>424.86</v>
      </c>
      <c r="U25" s="35">
        <f t="shared" si="16"/>
        <v>556.26</v>
      </c>
      <c r="W25" s="6" t="s">
        <v>14</v>
      </c>
      <c r="X25" s="35">
        <f t="shared" si="15"/>
        <v>775.34855182838965</v>
      </c>
      <c r="Y25" s="35">
        <f t="shared" si="11"/>
        <v>703.89964323046138</v>
      </c>
      <c r="Z25" s="35">
        <f t="shared" si="11"/>
        <v>1020.4477974090161</v>
      </c>
      <c r="AA25" s="35">
        <f t="shared" si="11"/>
        <v>1866.5458863003767</v>
      </c>
      <c r="AB25" s="35">
        <f t="shared" si="11"/>
        <v>2162.2057253924199</v>
      </c>
    </row>
    <row r="26" spans="1:28" s="17" customFormat="1" x14ac:dyDescent="0.35">
      <c r="A26" s="3"/>
      <c r="B26" s="28"/>
      <c r="C26" s="28"/>
      <c r="D26" s="28"/>
      <c r="E26" s="28"/>
      <c r="F26" s="28"/>
      <c r="G26" s="29"/>
      <c r="I26" s="3"/>
      <c r="J26" s="26"/>
      <c r="K26" s="26"/>
      <c r="L26" s="26"/>
      <c r="M26" s="26"/>
      <c r="N26" s="26"/>
      <c r="P26" s="3"/>
      <c r="Q26" s="26"/>
      <c r="R26" s="26"/>
      <c r="S26" s="26"/>
      <c r="T26" s="26"/>
      <c r="U26" s="26"/>
      <c r="W26" s="3"/>
      <c r="X26" s="26"/>
      <c r="Y26" s="26"/>
      <c r="Z26" s="26"/>
      <c r="AA26" s="26"/>
      <c r="AB26" s="26"/>
    </row>
    <row r="27" spans="1:28" s="31" customFormat="1" x14ac:dyDescent="0.35">
      <c r="A27" s="30" t="s">
        <v>34</v>
      </c>
    </row>
    <row r="28" spans="1:28" s="17" customFormat="1" x14ac:dyDescent="0.35">
      <c r="A28" s="3" t="s">
        <v>35</v>
      </c>
      <c r="B28" s="28"/>
      <c r="C28" s="28"/>
      <c r="D28" s="28"/>
      <c r="E28" s="28" t="s">
        <v>55</v>
      </c>
      <c r="G28" s="29"/>
      <c r="I28" s="3" t="s">
        <v>56</v>
      </c>
      <c r="J28" s="26"/>
      <c r="K28" s="26"/>
      <c r="L28" s="26"/>
      <c r="M28" s="26"/>
      <c r="N28" s="26"/>
      <c r="P28" s="3"/>
      <c r="Q28" s="26"/>
      <c r="R28" s="26"/>
      <c r="S28" s="26"/>
      <c r="T28" s="26"/>
      <c r="U28" s="26"/>
      <c r="W28" s="3"/>
      <c r="X28" s="26"/>
      <c r="Y28" s="26"/>
      <c r="Z28" s="26"/>
      <c r="AA28" s="26"/>
      <c r="AB28" s="26"/>
    </row>
    <row r="29" spans="1:28" s="17" customFormat="1" x14ac:dyDescent="0.35">
      <c r="A29" s="3"/>
      <c r="B29" s="8" t="s">
        <v>0</v>
      </c>
      <c r="C29" s="8" t="s">
        <v>1</v>
      </c>
      <c r="D29" s="8" t="s">
        <v>2</v>
      </c>
      <c r="E29" s="8" t="s">
        <v>3</v>
      </c>
      <c r="F29" s="8" t="s">
        <v>4</v>
      </c>
      <c r="G29" s="29"/>
      <c r="I29" s="3"/>
      <c r="J29" s="8" t="s">
        <v>0</v>
      </c>
      <c r="K29" s="8" t="s">
        <v>1</v>
      </c>
      <c r="L29" s="8" t="s">
        <v>2</v>
      </c>
      <c r="M29" s="8" t="s">
        <v>3</v>
      </c>
      <c r="N29" s="8" t="s">
        <v>4</v>
      </c>
      <c r="O29" s="15" t="s">
        <v>57</v>
      </c>
      <c r="P29" s="3"/>
      <c r="Q29" s="26"/>
      <c r="R29" s="26"/>
      <c r="S29" s="26"/>
      <c r="T29" s="26"/>
      <c r="U29" s="26"/>
      <c r="W29" s="3"/>
      <c r="X29" s="26"/>
      <c r="Y29" s="26"/>
      <c r="Z29" s="26"/>
      <c r="AA29" s="26"/>
      <c r="AB29" s="26"/>
    </row>
    <row r="30" spans="1:28" s="17" customFormat="1" x14ac:dyDescent="0.35">
      <c r="A30" s="6" t="s">
        <v>12</v>
      </c>
      <c r="B30" s="36">
        <f>B2*365*$K$3</f>
        <v>2460.538</v>
      </c>
      <c r="C30" s="36">
        <f t="shared" ref="C30:F30" si="17">C2*365*$K$3</f>
        <v>1568.0035</v>
      </c>
      <c r="D30" s="36">
        <f t="shared" si="17"/>
        <v>1224.721</v>
      </c>
      <c r="E30" s="36">
        <f t="shared" si="17"/>
        <v>819.02350000000013</v>
      </c>
      <c r="F30" s="36">
        <f t="shared" si="17"/>
        <v>233.01599999999996</v>
      </c>
      <c r="G30" s="29"/>
      <c r="I30" s="6" t="s">
        <v>12</v>
      </c>
      <c r="J30" s="36">
        <f>X23+B30</f>
        <v>18143.041985738466</v>
      </c>
      <c r="K30" s="36">
        <f t="shared" ref="K30:N32" si="18">Y23+C30</f>
        <v>12168.739442347458</v>
      </c>
      <c r="L30" s="36">
        <f t="shared" si="18"/>
        <v>9563.9785164733985</v>
      </c>
      <c r="M30" s="36">
        <f t="shared" si="18"/>
        <v>6384.616182001414</v>
      </c>
      <c r="N30" s="36">
        <f t="shared" si="18"/>
        <v>2861.8140796512475</v>
      </c>
      <c r="O30" s="35">
        <f>SUM(J30:N30)*O1</f>
        <v>491221.90206211986</v>
      </c>
      <c r="P30" s="3"/>
      <c r="Q30" s="26"/>
      <c r="R30" s="26"/>
      <c r="S30" s="26"/>
      <c r="T30" s="26"/>
      <c r="U30" s="26"/>
      <c r="W30" s="3"/>
      <c r="X30" s="26"/>
      <c r="Y30" s="26"/>
      <c r="Z30" s="26"/>
      <c r="AA30" s="26"/>
      <c r="AB30" s="26"/>
    </row>
    <row r="31" spans="1:28" s="17" customFormat="1" x14ac:dyDescent="0.35">
      <c r="A31" s="6" t="s">
        <v>13</v>
      </c>
      <c r="B31" s="36">
        <f>B5*365*$K$3</f>
        <v>171.988</v>
      </c>
      <c r="C31" s="36">
        <f t="shared" ref="C31:F31" si="19">C5*365*$K$3</f>
        <v>287.80250000000007</v>
      </c>
      <c r="D31" s="36">
        <f t="shared" si="19"/>
        <v>426.5025</v>
      </c>
      <c r="E31" s="36">
        <f t="shared" si="19"/>
        <v>427.19600000000003</v>
      </c>
      <c r="F31" s="36">
        <f t="shared" si="19"/>
        <v>519.43150000000003</v>
      </c>
      <c r="G31" s="29"/>
      <c r="I31" s="6" t="s">
        <v>13</v>
      </c>
      <c r="J31" s="36">
        <f t="shared" ref="J31" si="20">X24+B31</f>
        <v>2066.2802342311675</v>
      </c>
      <c r="K31" s="36">
        <f t="shared" si="18"/>
        <v>3730.1127380484936</v>
      </c>
      <c r="L31" s="36">
        <f t="shared" si="18"/>
        <v>4692.0621445370762</v>
      </c>
      <c r="M31" s="36">
        <f t="shared" si="18"/>
        <v>4807.1001466464213</v>
      </c>
      <c r="N31" s="36">
        <f t="shared" si="18"/>
        <v>4453.2786689439727</v>
      </c>
      <c r="O31" s="35">
        <f t="shared" ref="O31:O32" si="21">SUM(J31:N31)*O2</f>
        <v>394976.67864814273</v>
      </c>
      <c r="P31" s="3"/>
      <c r="Q31" s="26"/>
      <c r="R31" s="26"/>
      <c r="S31" s="26"/>
      <c r="T31" s="26"/>
      <c r="U31" s="26"/>
      <c r="W31" s="3"/>
      <c r="X31" s="26"/>
      <c r="Y31" s="26"/>
      <c r="Z31" s="26"/>
      <c r="AA31" s="26"/>
      <c r="AB31" s="26"/>
    </row>
    <row r="32" spans="1:28" s="17" customFormat="1" x14ac:dyDescent="0.35">
      <c r="A32" s="6" t="s">
        <v>14</v>
      </c>
      <c r="B32" s="36">
        <f>B8*365*$K$3</f>
        <v>33.287999999999997</v>
      </c>
      <c r="C32" s="36">
        <f t="shared" ref="C32:E32" si="22">C8*365*$K$3</f>
        <v>50.625499999999995</v>
      </c>
      <c r="D32" s="36">
        <f t="shared" si="22"/>
        <v>55.480000000000004</v>
      </c>
      <c r="E32" s="36">
        <f t="shared" si="22"/>
        <v>134.53900000000002</v>
      </c>
      <c r="F32" s="36">
        <f>F8*365*$K$3</f>
        <v>176.149</v>
      </c>
      <c r="G32" s="29"/>
      <c r="I32" s="6" t="s">
        <v>14</v>
      </c>
      <c r="J32" s="36">
        <f>X25+B32</f>
        <v>808.63655182838966</v>
      </c>
      <c r="K32" s="36">
        <f t="shared" si="18"/>
        <v>754.52514323046137</v>
      </c>
      <c r="L32" s="36">
        <f t="shared" si="18"/>
        <v>1075.927797409016</v>
      </c>
      <c r="M32" s="36">
        <f t="shared" si="18"/>
        <v>2001.0848863003766</v>
      </c>
      <c r="N32" s="36">
        <f t="shared" si="18"/>
        <v>2338.3547253924198</v>
      </c>
      <c r="O32" s="35">
        <f t="shared" si="21"/>
        <v>488497.03729124641</v>
      </c>
      <c r="P32" s="3"/>
      <c r="Q32" s="26"/>
      <c r="R32" s="26"/>
      <c r="S32" s="26"/>
      <c r="T32" s="26"/>
      <c r="U32" s="26"/>
      <c r="W32" s="3"/>
      <c r="X32" s="26"/>
      <c r="Y32" s="26"/>
      <c r="Z32" s="26"/>
      <c r="AA32" s="26"/>
      <c r="AB32" s="26"/>
    </row>
    <row r="33" spans="1:28" s="17" customFormat="1" x14ac:dyDescent="0.35">
      <c r="A33" s="3"/>
      <c r="B33" s="28"/>
      <c r="C33" s="28"/>
      <c r="D33" s="28"/>
      <c r="E33" s="28"/>
      <c r="F33" s="28"/>
      <c r="G33" s="29"/>
      <c r="I33" s="3"/>
      <c r="J33" s="26"/>
      <c r="K33" s="26"/>
      <c r="L33" s="26"/>
      <c r="M33" s="26"/>
      <c r="N33" s="44" t="s">
        <v>61</v>
      </c>
      <c r="O33" s="54">
        <f>SUM(O30:O32)</f>
        <v>1374695.618001509</v>
      </c>
      <c r="P33" s="3"/>
      <c r="Q33" s="26"/>
      <c r="R33" s="26"/>
      <c r="S33" s="26"/>
      <c r="T33" s="26"/>
      <c r="U33" s="26"/>
      <c r="W33" s="3"/>
      <c r="X33" s="26"/>
      <c r="Y33" s="26"/>
      <c r="Z33" s="26"/>
      <c r="AA33" s="26"/>
      <c r="AB33" s="26"/>
    </row>
    <row r="34" spans="1:28" s="17" customFormat="1" x14ac:dyDescent="0.35">
      <c r="A34" s="3"/>
      <c r="B34" s="28"/>
      <c r="C34" s="28"/>
      <c r="D34" s="28"/>
      <c r="E34" s="28"/>
      <c r="F34" s="28"/>
      <c r="G34" s="29"/>
      <c r="I34" s="3"/>
      <c r="J34" s="26"/>
      <c r="K34" s="26"/>
      <c r="L34" s="26"/>
      <c r="M34" s="26"/>
      <c r="N34" s="26"/>
      <c r="P34" s="3"/>
      <c r="Q34" s="26"/>
      <c r="R34" s="26"/>
      <c r="S34" s="26"/>
      <c r="T34" s="26"/>
      <c r="U34" s="26"/>
      <c r="W34" s="3"/>
      <c r="X34" s="26"/>
      <c r="Y34" s="26"/>
      <c r="Z34" s="26"/>
      <c r="AA34" s="26"/>
      <c r="AB34" s="26"/>
    </row>
    <row r="35" spans="1:28" s="17" customFormat="1" x14ac:dyDescent="0.35">
      <c r="A35" s="3"/>
    </row>
    <row r="36" spans="1:28" s="33" customFormat="1" x14ac:dyDescent="0.35">
      <c r="A36" s="32" t="s">
        <v>32</v>
      </c>
    </row>
    <row r="37" spans="1:28" s="17" customFormat="1" x14ac:dyDescent="0.35">
      <c r="A37" s="3"/>
    </row>
    <row r="38" spans="1:28" ht="21" x14ac:dyDescent="0.55000000000000004">
      <c r="A38" s="3" t="s">
        <v>27</v>
      </c>
      <c r="B38" t="s">
        <v>28</v>
      </c>
    </row>
    <row r="39" spans="1:28" x14ac:dyDescent="0.35">
      <c r="A39" s="13" t="s">
        <v>12</v>
      </c>
      <c r="B39" s="8" t="s">
        <v>0</v>
      </c>
      <c r="C39" s="8" t="s">
        <v>1</v>
      </c>
      <c r="D39" s="8" t="s">
        <v>2</v>
      </c>
      <c r="E39" s="8" t="s">
        <v>3</v>
      </c>
      <c r="F39" s="8" t="s">
        <v>4</v>
      </c>
      <c r="H39" s="14" t="s">
        <v>13</v>
      </c>
      <c r="I39" s="8" t="s">
        <v>0</v>
      </c>
      <c r="J39" s="8" t="s">
        <v>1</v>
      </c>
      <c r="K39" s="8" t="s">
        <v>2</v>
      </c>
      <c r="L39" s="8" t="s">
        <v>3</v>
      </c>
      <c r="M39" s="8" t="s">
        <v>4</v>
      </c>
      <c r="O39" s="14" t="s">
        <v>14</v>
      </c>
      <c r="P39" s="8" t="s">
        <v>0</v>
      </c>
      <c r="Q39" s="8" t="s">
        <v>1</v>
      </c>
      <c r="R39" s="8" t="s">
        <v>2</v>
      </c>
      <c r="S39" s="8" t="s">
        <v>3</v>
      </c>
      <c r="T39" s="8" t="s">
        <v>4</v>
      </c>
    </row>
    <row r="40" spans="1:28" x14ac:dyDescent="0.35">
      <c r="A40" s="5" t="s">
        <v>0</v>
      </c>
      <c r="B40" s="4"/>
      <c r="C40" s="4">
        <f>$H$9*$B$3*C3</f>
        <v>0</v>
      </c>
      <c r="D40" s="4">
        <f>$H$9*$B$3*D3</f>
        <v>0</v>
      </c>
      <c r="E40" s="4">
        <f>$H$9*$B$3*E3</f>
        <v>0</v>
      </c>
      <c r="F40" s="4">
        <f>$H$9*$B$3*F3</f>
        <v>0</v>
      </c>
      <c r="H40" s="5" t="s">
        <v>0</v>
      </c>
      <c r="I40" s="4"/>
      <c r="J40" s="4">
        <f>$H$9*$B$6*C6</f>
        <v>0</v>
      </c>
      <c r="K40" s="4">
        <f t="shared" ref="K40:M40" si="23">$H$9*$B$6*D6</f>
        <v>0</v>
      </c>
      <c r="L40" s="4">
        <f t="shared" si="23"/>
        <v>0</v>
      </c>
      <c r="M40" s="4">
        <f t="shared" si="23"/>
        <v>0</v>
      </c>
      <c r="O40" s="5" t="s">
        <v>0</v>
      </c>
      <c r="P40" s="4"/>
      <c r="Q40" s="4">
        <f>$H$9*$B$9*C9</f>
        <v>0</v>
      </c>
      <c r="R40" s="4">
        <f t="shared" ref="R40:T40" si="24">$H$9*$B$9*D9</f>
        <v>0</v>
      </c>
      <c r="S40" s="4">
        <f t="shared" si="24"/>
        <v>0</v>
      </c>
      <c r="T40" s="4">
        <f t="shared" si="24"/>
        <v>0</v>
      </c>
    </row>
    <row r="41" spans="1:28" x14ac:dyDescent="0.35">
      <c r="A41" s="5" t="s">
        <v>1</v>
      </c>
      <c r="B41" s="4"/>
      <c r="C41" s="4"/>
      <c r="D41" s="4">
        <f>$H$9*$C$3*D3</f>
        <v>0</v>
      </c>
      <c r="E41" s="4">
        <f t="shared" ref="E41:F41" si="25">$H$9*$C$3*E3</f>
        <v>0</v>
      </c>
      <c r="F41" s="4">
        <f t="shared" si="25"/>
        <v>0</v>
      </c>
      <c r="H41" s="5" t="s">
        <v>1</v>
      </c>
      <c r="I41" s="4"/>
      <c r="J41" s="4"/>
      <c r="K41" s="4">
        <f>$H$9*$C$6*D6</f>
        <v>0</v>
      </c>
      <c r="L41" s="4">
        <f t="shared" ref="L41:M41" si="26">$H$9*$C$6*E6</f>
        <v>0</v>
      </c>
      <c r="M41" s="4">
        <f t="shared" si="26"/>
        <v>0</v>
      </c>
      <c r="O41" s="5" t="s">
        <v>1</v>
      </c>
      <c r="P41" s="4"/>
      <c r="Q41" s="4"/>
      <c r="R41" s="4">
        <f>$H$9*$C$9*D9</f>
        <v>0</v>
      </c>
      <c r="S41" s="4">
        <f t="shared" ref="S41:T41" si="27">$H$9*$C$9*E9</f>
        <v>0</v>
      </c>
      <c r="T41" s="4">
        <f t="shared" si="27"/>
        <v>0</v>
      </c>
    </row>
    <row r="42" spans="1:28" x14ac:dyDescent="0.35">
      <c r="A42" s="5" t="s">
        <v>2</v>
      </c>
      <c r="B42" s="4"/>
      <c r="C42" s="4"/>
      <c r="D42" s="4"/>
      <c r="E42" s="4">
        <f>$H$9*$D$3*E3</f>
        <v>0</v>
      </c>
      <c r="F42" s="4">
        <f>$H$9*$D$3*F3</f>
        <v>0</v>
      </c>
      <c r="H42" s="5" t="s">
        <v>2</v>
      </c>
      <c r="I42" s="4"/>
      <c r="J42" s="4"/>
      <c r="K42" s="4"/>
      <c r="L42" s="4">
        <f>$H$9*$D$6*E6</f>
        <v>0</v>
      </c>
      <c r="M42" s="4">
        <f>$H$9*$D$6*F6</f>
        <v>0</v>
      </c>
      <c r="O42" s="5" t="s">
        <v>2</v>
      </c>
      <c r="P42" s="4"/>
      <c r="Q42" s="4"/>
      <c r="R42" s="4"/>
      <c r="S42" s="4">
        <f>$H$9*$D$9*E9</f>
        <v>0</v>
      </c>
      <c r="T42" s="4">
        <f>$H$9*$D$9*F9</f>
        <v>0</v>
      </c>
    </row>
    <row r="43" spans="1:28" x14ac:dyDescent="0.35">
      <c r="A43" s="5" t="s">
        <v>3</v>
      </c>
      <c r="B43" s="4"/>
      <c r="C43" s="4"/>
      <c r="D43" s="4"/>
      <c r="E43" s="4"/>
      <c r="F43" s="4">
        <f>$H$9*E3*F3</f>
        <v>0</v>
      </c>
      <c r="H43" s="5" t="s">
        <v>3</v>
      </c>
      <c r="I43" s="4"/>
      <c r="J43" s="4"/>
      <c r="K43" s="4"/>
      <c r="L43" s="4"/>
      <c r="M43" s="4">
        <f>$H$9*E6*F6</f>
        <v>0</v>
      </c>
      <c r="O43" s="5" t="s">
        <v>3</v>
      </c>
      <c r="P43" s="4"/>
      <c r="Q43" s="4"/>
      <c r="R43" s="4"/>
      <c r="S43" s="4"/>
      <c r="T43" s="4">
        <f>$H$9*$E$9*F9</f>
        <v>0</v>
      </c>
    </row>
    <row r="44" spans="1:28" x14ac:dyDescent="0.35">
      <c r="A44" s="5" t="s">
        <v>4</v>
      </c>
      <c r="B44" s="4"/>
      <c r="C44" s="4"/>
      <c r="D44" s="4"/>
      <c r="E44" s="4"/>
      <c r="F44" s="4"/>
      <c r="H44" s="5" t="s">
        <v>4</v>
      </c>
      <c r="I44" s="4"/>
      <c r="J44" s="4"/>
      <c r="K44" s="4"/>
      <c r="L44" s="4"/>
      <c r="M44" s="4"/>
      <c r="O44" s="5" t="s">
        <v>4</v>
      </c>
      <c r="P44" s="4"/>
      <c r="Q44" s="4"/>
      <c r="R44" s="4"/>
      <c r="S44" s="4"/>
      <c r="T44" s="4"/>
    </row>
    <row r="46" spans="1:28" x14ac:dyDescent="0.35">
      <c r="A46" s="8" t="s">
        <v>11</v>
      </c>
      <c r="B46" s="15" t="s">
        <v>70</v>
      </c>
      <c r="C46" s="15" t="s">
        <v>63</v>
      </c>
    </row>
    <row r="47" spans="1:28" x14ac:dyDescent="0.35">
      <c r="A47" s="15" t="s">
        <v>12</v>
      </c>
      <c r="B47" s="4">
        <f>SQRT(SUM(B4:F4)+(2*SUM(B40:F44)))</f>
        <v>12.27391135702063</v>
      </c>
      <c r="C47" s="4">
        <f>SUM(B2:F2)</f>
        <v>90.92</v>
      </c>
    </row>
    <row r="48" spans="1:28" x14ac:dyDescent="0.35">
      <c r="A48" s="16" t="s">
        <v>13</v>
      </c>
      <c r="B48" s="4">
        <f>SQRT(SUM(B7:F7)+(2*SUM(I40:M44)))</f>
        <v>12.150263371631086</v>
      </c>
      <c r="C48" s="4">
        <f>SUM(B5:F5)</f>
        <v>26.43</v>
      </c>
    </row>
    <row r="49" spans="1:10" x14ac:dyDescent="0.35">
      <c r="A49" s="16" t="s">
        <v>14</v>
      </c>
      <c r="B49" s="4">
        <f>SQRT(SUM(B10:F10)+(2*SUM(P40:T44)))</f>
        <v>6.4518911956107878</v>
      </c>
      <c r="C49" s="4">
        <f>SUM(B8:F8)</f>
        <v>6.49</v>
      </c>
    </row>
    <row r="51" spans="1:10" ht="19" x14ac:dyDescent="0.45">
      <c r="A51" s="3" t="s">
        <v>19</v>
      </c>
      <c r="B51" s="17"/>
      <c r="C51" s="17" t="s">
        <v>26</v>
      </c>
      <c r="D51" s="18" t="s">
        <v>30</v>
      </c>
      <c r="E51" s="17"/>
      <c r="F51" s="17" t="s">
        <v>39</v>
      </c>
      <c r="G51" s="17"/>
      <c r="H51" s="18" t="s">
        <v>86</v>
      </c>
      <c r="I51" s="17"/>
      <c r="J51" s="17" t="s">
        <v>42</v>
      </c>
    </row>
    <row r="52" spans="1:10" ht="43.5" x14ac:dyDescent="0.35">
      <c r="A52" s="3"/>
      <c r="B52" s="8" t="s">
        <v>64</v>
      </c>
      <c r="D52" s="17"/>
      <c r="E52" s="8" t="s">
        <v>65</v>
      </c>
      <c r="H52" s="8" t="s">
        <v>75</v>
      </c>
      <c r="I52" s="8" t="s">
        <v>87</v>
      </c>
    </row>
    <row r="53" spans="1:10" x14ac:dyDescent="0.35">
      <c r="A53" s="6" t="s">
        <v>12</v>
      </c>
      <c r="B53" s="4">
        <f>_xlfn.NORM.S.INV(0.95)*SQRT(SUM($K$5:$K$6))*B47</f>
        <v>66.9586334827587</v>
      </c>
      <c r="D53" s="6" t="s">
        <v>12</v>
      </c>
      <c r="E53" s="22">
        <f>((C47*$K$5))/2</f>
        <v>272.76</v>
      </c>
      <c r="H53" s="6" t="s">
        <v>12</v>
      </c>
      <c r="I53" s="35">
        <f>365*C47*$P$7*($K$4/365)</f>
        <v>14933.61</v>
      </c>
    </row>
    <row r="54" spans="1:10" x14ac:dyDescent="0.35">
      <c r="A54" s="6" t="s">
        <v>13</v>
      </c>
      <c r="B54" s="4">
        <f t="shared" ref="B54:B55" si="28">_xlfn.NORM.S.INV(0.95)*SQRT(SUM($K$5:$K$6))*B48</f>
        <v>66.284088922858146</v>
      </c>
      <c r="D54" s="6" t="s">
        <v>13</v>
      </c>
      <c r="E54" s="22">
        <f>(($K$5*C48))/2</f>
        <v>79.289999999999992</v>
      </c>
      <c r="H54" s="6" t="s">
        <v>13</v>
      </c>
      <c r="I54" s="35">
        <f t="shared" ref="I54:I55" si="29">365*C48*$P$7*($K$4/365)</f>
        <v>4341.1275000000005</v>
      </c>
    </row>
    <row r="55" spans="1:10" x14ac:dyDescent="0.35">
      <c r="A55" s="6" t="s">
        <v>14</v>
      </c>
      <c r="B55" s="4">
        <f t="shared" si="28"/>
        <v>35.197404093230041</v>
      </c>
      <c r="D55" s="6" t="s">
        <v>14</v>
      </c>
      <c r="E55" s="22">
        <f>(($K$5*C49))/2</f>
        <v>19.47</v>
      </c>
      <c r="H55" s="6" t="s">
        <v>14</v>
      </c>
      <c r="I55" s="35">
        <f t="shared" si="29"/>
        <v>1065.9824999999998</v>
      </c>
    </row>
    <row r="56" spans="1:10" x14ac:dyDescent="0.35">
      <c r="D56" s="3"/>
      <c r="E56" s="26"/>
      <c r="F56" s="26"/>
      <c r="G56" s="26"/>
      <c r="H56" s="26"/>
      <c r="I56" s="26"/>
    </row>
    <row r="57" spans="1:10" x14ac:dyDescent="0.35">
      <c r="A57" s="13" t="s">
        <v>76</v>
      </c>
      <c r="B57" s="13" t="s">
        <v>51</v>
      </c>
      <c r="D57" s="3"/>
      <c r="E57" s="45" t="s">
        <v>76</v>
      </c>
      <c r="F57" s="47" t="s">
        <v>47</v>
      </c>
      <c r="G57" s="26"/>
      <c r="H57" s="47" t="s">
        <v>77</v>
      </c>
      <c r="I57" s="26"/>
    </row>
    <row r="58" spans="1:10" x14ac:dyDescent="0.35">
      <c r="A58" s="6" t="s">
        <v>12</v>
      </c>
      <c r="B58" s="36">
        <f>C47*365*$K$12</f>
        <v>9623.8819999999996</v>
      </c>
      <c r="E58" s="6" t="s">
        <v>12</v>
      </c>
      <c r="F58" s="36">
        <f>(SUM(B53,E53)*$K$4) + I53</f>
        <v>33533.205183181039</v>
      </c>
      <c r="H58" s="36">
        <f>SUM(B58,F58)*O1</f>
        <v>431570.87183181033</v>
      </c>
    </row>
    <row r="59" spans="1:10" x14ac:dyDescent="0.35">
      <c r="A59" s="6" t="s">
        <v>13</v>
      </c>
      <c r="B59" s="36">
        <f t="shared" ref="B59:B60" si="30">C48*365*$K$12</f>
        <v>2797.6154999999999</v>
      </c>
      <c r="E59" s="6" t="s">
        <v>13</v>
      </c>
      <c r="F59" s="36">
        <f t="shared" ref="F59:F60" si="31">(SUM(B54,E54)*$K$4) + I54</f>
        <v>12311.308868526485</v>
      </c>
      <c r="H59" s="36">
        <f t="shared" ref="H59" si="32">SUM(B59,F59)*O2</f>
        <v>302178.48737052968</v>
      </c>
    </row>
    <row r="60" spans="1:10" x14ac:dyDescent="0.35">
      <c r="A60" s="6" t="s">
        <v>14</v>
      </c>
      <c r="B60" s="36">
        <f t="shared" si="30"/>
        <v>686.96649999999988</v>
      </c>
      <c r="E60" s="6" t="s">
        <v>14</v>
      </c>
      <c r="F60" s="36">
        <f t="shared" si="31"/>
        <v>4059.0228741043447</v>
      </c>
      <c r="H60" s="36">
        <f>SUM(B60,F60)*O3</f>
        <v>332219.2561873041</v>
      </c>
    </row>
    <row r="61" spans="1:10" x14ac:dyDescent="0.35">
      <c r="G61" s="21" t="s">
        <v>66</v>
      </c>
      <c r="H61" s="54">
        <f>SUM(H58:H60)</f>
        <v>1065968.6153896442</v>
      </c>
    </row>
    <row r="62" spans="1:10" ht="15" customHeight="1" x14ac:dyDescent="0.35">
      <c r="G62" s="21"/>
      <c r="H62" s="53"/>
    </row>
    <row r="63" spans="1:10" x14ac:dyDescent="0.35">
      <c r="G63" s="21"/>
      <c r="H63" s="53"/>
    </row>
    <row r="64" spans="1:10" x14ac:dyDescent="0.35">
      <c r="A64" s="13" t="s">
        <v>78</v>
      </c>
      <c r="B64" s="45" t="s">
        <v>79</v>
      </c>
      <c r="H64" s="34"/>
    </row>
    <row r="65" spans="1:5" x14ac:dyDescent="0.35">
      <c r="A65">
        <f>C47*365*O1</f>
        <v>331858</v>
      </c>
    </row>
    <row r="66" spans="1:5" x14ac:dyDescent="0.35">
      <c r="A66">
        <f t="shared" ref="A66:A67" si="33">C48*365*O2</f>
        <v>192939</v>
      </c>
    </row>
    <row r="67" spans="1:5" x14ac:dyDescent="0.35">
      <c r="A67">
        <f t="shared" si="33"/>
        <v>165819.5</v>
      </c>
    </row>
    <row r="68" spans="1:5" x14ac:dyDescent="0.35">
      <c r="A68" s="48">
        <f>SUM(A65:A67)</f>
        <v>690616.5</v>
      </c>
      <c r="E68" s="40"/>
    </row>
    <row r="69" spans="1:5" x14ac:dyDescent="0.35">
      <c r="A69" s="4">
        <f>A68/1000</f>
        <v>690.61649999999997</v>
      </c>
      <c r="B69" s="49">
        <f xml:space="preserve"> -0.0009*(A69^3) + 0.3998*(A69^2) + 2000.5*(A69) + 396.83</f>
        <v>1276208.9075084007</v>
      </c>
    </row>
    <row r="71" spans="1:5" x14ac:dyDescent="0.35">
      <c r="A71" s="40" t="s">
        <v>80</v>
      </c>
      <c r="D71" s="40"/>
    </row>
    <row r="72" spans="1:5" x14ac:dyDescent="0.35">
      <c r="A72" s="48" t="s">
        <v>81</v>
      </c>
      <c r="B72" s="48" t="s">
        <v>84</v>
      </c>
      <c r="D72" s="48" t="s">
        <v>88</v>
      </c>
      <c r="E72" s="40"/>
    </row>
    <row r="73" spans="1:5" x14ac:dyDescent="0.35">
      <c r="A73" s="4">
        <v>0</v>
      </c>
      <c r="B73" s="55">
        <f>PMT($O$5,3,$B$69)</f>
        <v>-531348.2776220846</v>
      </c>
      <c r="D73" s="52">
        <f>O33-H61</f>
        <v>308727.00261186482</v>
      </c>
      <c r="E73" s="50"/>
    </row>
    <row r="74" spans="1:5" x14ac:dyDescent="0.35">
      <c r="A74" s="4">
        <v>1</v>
      </c>
      <c r="B74" s="55">
        <f t="shared" ref="B74:B75" si="34">PMT($O$5,3,$B$69)</f>
        <v>-531348.2776220846</v>
      </c>
      <c r="E74" s="50"/>
    </row>
    <row r="75" spans="1:5" x14ac:dyDescent="0.35">
      <c r="A75" s="4">
        <v>2</v>
      </c>
      <c r="B75" s="55">
        <f t="shared" si="34"/>
        <v>-531348.2776220846</v>
      </c>
      <c r="D75" t="s">
        <v>89</v>
      </c>
      <c r="E75" s="50"/>
    </row>
    <row r="76" spans="1:5" x14ac:dyDescent="0.35">
      <c r="A76" s="4">
        <v>3</v>
      </c>
      <c r="B76" s="55">
        <f>5*50000</f>
        <v>250000</v>
      </c>
      <c r="D76" s="67">
        <f>B77/D73</f>
        <v>-4.0534482046241411</v>
      </c>
      <c r="E76" s="50"/>
    </row>
    <row r="77" spans="1:5" x14ac:dyDescent="0.35">
      <c r="A77" s="56" t="s">
        <v>82</v>
      </c>
      <c r="B77" s="55">
        <f>NPV(O5, B74:B76)+B73</f>
        <v>-1251408.914456056</v>
      </c>
      <c r="E77" s="34"/>
    </row>
    <row r="78" spans="1:5" x14ac:dyDescent="0.35">
      <c r="D78" t="s">
        <v>92</v>
      </c>
      <c r="E78" s="50"/>
    </row>
    <row r="79" spans="1:5" x14ac:dyDescent="0.35">
      <c r="E79" s="50"/>
    </row>
    <row r="80" spans="1:5" x14ac:dyDescent="0.35">
      <c r="D80" s="51"/>
      <c r="E80" s="50"/>
    </row>
  </sheetData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0"/>
  <sheetViews>
    <sheetView topLeftCell="A64" zoomScaleNormal="100" workbookViewId="0">
      <selection activeCell="A79" sqref="A79"/>
    </sheetView>
  </sheetViews>
  <sheetFormatPr defaultRowHeight="14.5" x14ac:dyDescent="0.35"/>
  <cols>
    <col min="1" max="1" width="18.54296875" customWidth="1"/>
    <col min="2" max="2" width="13.90625" bestFit="1" customWidth="1"/>
    <col min="3" max="3" width="11.36328125" customWidth="1"/>
    <col min="4" max="4" width="12.6328125" customWidth="1"/>
    <col min="5" max="5" width="16.81640625" customWidth="1"/>
    <col min="6" max="6" width="16.90625" customWidth="1"/>
    <col min="7" max="7" width="13.453125" customWidth="1"/>
    <col min="8" max="8" width="14.90625" bestFit="1" customWidth="1"/>
    <col min="9" max="9" width="11.08984375" bestFit="1" customWidth="1"/>
    <col min="10" max="12" width="12.1796875" bestFit="1" customWidth="1"/>
    <col min="13" max="13" width="15.453125" customWidth="1"/>
    <col min="14" max="14" width="12.1796875" bestFit="1" customWidth="1"/>
    <col min="15" max="15" width="14.90625" bestFit="1" customWidth="1"/>
    <col min="17" max="17" width="12.1796875" bestFit="1" customWidth="1"/>
    <col min="18" max="18" width="14.1796875" customWidth="1"/>
    <col min="19" max="19" width="14.08984375" customWidth="1"/>
    <col min="20" max="20" width="13" customWidth="1"/>
    <col min="21" max="21" width="13.6328125" customWidth="1"/>
    <col min="24" max="28" width="12.1796875" bestFit="1" customWidth="1"/>
    <col min="30" max="30" width="10.1796875" bestFit="1" customWidth="1"/>
  </cols>
  <sheetData>
    <row r="1" spans="1:30" ht="15" thickBot="1" x14ac:dyDescent="0.4">
      <c r="A1" s="1"/>
      <c r="B1" s="8" t="s">
        <v>0</v>
      </c>
      <c r="C1" s="8" t="s">
        <v>1</v>
      </c>
      <c r="D1" s="8" t="s">
        <v>2</v>
      </c>
      <c r="E1" s="8" t="s">
        <v>3</v>
      </c>
      <c r="F1" s="8" t="s">
        <v>4</v>
      </c>
      <c r="I1" s="41" t="s">
        <v>49</v>
      </c>
      <c r="J1" t="s">
        <v>52</v>
      </c>
      <c r="K1" s="34">
        <v>0.09</v>
      </c>
      <c r="L1" s="43" t="s">
        <v>54</v>
      </c>
      <c r="N1" s="21" t="s">
        <v>58</v>
      </c>
      <c r="O1">
        <v>10</v>
      </c>
    </row>
    <row r="2" spans="1:30" ht="15" thickBot="1" x14ac:dyDescent="0.4">
      <c r="A2" s="9" t="s">
        <v>5</v>
      </c>
      <c r="B2" s="2">
        <v>35.479999999999997</v>
      </c>
      <c r="C2" s="2">
        <v>22.61</v>
      </c>
      <c r="D2" s="2">
        <v>17.66</v>
      </c>
      <c r="E2" s="2">
        <v>11.81</v>
      </c>
      <c r="F2" s="2">
        <v>3.36</v>
      </c>
      <c r="I2" s="21" t="s">
        <v>50</v>
      </c>
      <c r="J2" t="s">
        <v>53</v>
      </c>
      <c r="K2" s="34">
        <v>0.1</v>
      </c>
      <c r="L2" s="43" t="s">
        <v>54</v>
      </c>
      <c r="N2" s="21" t="s">
        <v>59</v>
      </c>
      <c r="O2">
        <v>20</v>
      </c>
    </row>
    <row r="3" spans="1:30" ht="15" thickBot="1" x14ac:dyDescent="0.4">
      <c r="A3" s="9" t="s">
        <v>6</v>
      </c>
      <c r="B3" s="2">
        <v>6.98</v>
      </c>
      <c r="C3" s="2">
        <v>6.48</v>
      </c>
      <c r="D3" s="2">
        <v>5.26</v>
      </c>
      <c r="E3" s="2">
        <v>3.48</v>
      </c>
      <c r="F3" s="2">
        <v>4.49</v>
      </c>
      <c r="I3" s="21" t="s">
        <v>51</v>
      </c>
      <c r="K3" s="42">
        <f>SUM(K1:K2)</f>
        <v>0.19</v>
      </c>
      <c r="L3" s="43" t="s">
        <v>54</v>
      </c>
      <c r="N3" s="21" t="s">
        <v>60</v>
      </c>
      <c r="O3">
        <v>70</v>
      </c>
    </row>
    <row r="4" spans="1:30" ht="15" thickBot="1" x14ac:dyDescent="0.4">
      <c r="A4" s="9" t="s">
        <v>15</v>
      </c>
      <c r="B4" s="2">
        <f>B3^2</f>
        <v>48.720400000000005</v>
      </c>
      <c r="C4" s="2">
        <f t="shared" ref="C4:F4" si="0">C3^2</f>
        <v>41.990400000000008</v>
      </c>
      <c r="D4" s="2">
        <f t="shared" si="0"/>
        <v>27.667599999999997</v>
      </c>
      <c r="E4" s="2">
        <f t="shared" si="0"/>
        <v>12.1104</v>
      </c>
      <c r="F4" s="2">
        <f t="shared" si="0"/>
        <v>20.160100000000003</v>
      </c>
      <c r="I4" s="21" t="s">
        <v>36</v>
      </c>
      <c r="J4" t="s">
        <v>37</v>
      </c>
      <c r="K4" s="34">
        <f>0.15*365</f>
        <v>54.75</v>
      </c>
      <c r="L4" t="s">
        <v>38</v>
      </c>
      <c r="N4" s="34"/>
    </row>
    <row r="5" spans="1:30" ht="15" thickBot="1" x14ac:dyDescent="0.4">
      <c r="A5" s="9" t="s">
        <v>7</v>
      </c>
      <c r="B5" s="2">
        <v>2.48</v>
      </c>
      <c r="C5" s="2">
        <v>4.1500000000000004</v>
      </c>
      <c r="D5" s="2">
        <v>6.15</v>
      </c>
      <c r="E5" s="2">
        <v>6.16</v>
      </c>
      <c r="F5" s="2">
        <v>7.49</v>
      </c>
      <c r="I5" s="21" t="s">
        <v>21</v>
      </c>
      <c r="J5" t="s">
        <v>24</v>
      </c>
      <c r="K5">
        <v>6</v>
      </c>
      <c r="L5" t="s">
        <v>22</v>
      </c>
      <c r="N5" t="s">
        <v>91</v>
      </c>
      <c r="O5" s="57">
        <v>0.12</v>
      </c>
    </row>
    <row r="6" spans="1:30" ht="25.5" thickBot="1" x14ac:dyDescent="0.55000000000000004">
      <c r="A6" s="9" t="s">
        <v>8</v>
      </c>
      <c r="B6" s="2">
        <v>3.16</v>
      </c>
      <c r="C6" s="2">
        <v>6.2</v>
      </c>
      <c r="D6" s="2">
        <v>6.39</v>
      </c>
      <c r="E6" s="2">
        <v>6.76</v>
      </c>
      <c r="F6" s="2">
        <v>3.56</v>
      </c>
      <c r="I6" s="21" t="s">
        <v>23</v>
      </c>
      <c r="J6" t="s">
        <v>25</v>
      </c>
      <c r="K6">
        <v>5</v>
      </c>
      <c r="L6" t="s">
        <v>22</v>
      </c>
      <c r="N6" s="23"/>
    </row>
    <row r="7" spans="1:30" ht="15" thickBot="1" x14ac:dyDescent="0.4">
      <c r="A7" s="9" t="s">
        <v>16</v>
      </c>
      <c r="B7" s="2">
        <f>B6^2</f>
        <v>9.9856000000000016</v>
      </c>
      <c r="C7" s="2">
        <f t="shared" ref="C7:F7" si="1">C6^2</f>
        <v>38.440000000000005</v>
      </c>
      <c r="D7" s="2">
        <f t="shared" si="1"/>
        <v>40.832099999999997</v>
      </c>
      <c r="E7" s="2">
        <f t="shared" si="1"/>
        <v>45.697599999999994</v>
      </c>
      <c r="F7" s="2">
        <f t="shared" si="1"/>
        <v>12.6736</v>
      </c>
      <c r="I7" s="21" t="s">
        <v>72</v>
      </c>
      <c r="K7" s="24">
        <v>4</v>
      </c>
      <c r="L7" t="s">
        <v>22</v>
      </c>
      <c r="M7" s="25" t="s">
        <v>29</v>
      </c>
      <c r="O7" s="21" t="s">
        <v>73</v>
      </c>
      <c r="P7" s="24">
        <v>3</v>
      </c>
      <c r="Q7" t="s">
        <v>22</v>
      </c>
    </row>
    <row r="8" spans="1:30" ht="15" thickBot="1" x14ac:dyDescent="0.4">
      <c r="A8" s="9" t="s">
        <v>9</v>
      </c>
      <c r="B8" s="2">
        <v>0.48</v>
      </c>
      <c r="C8" s="2">
        <v>0.73</v>
      </c>
      <c r="D8" s="2">
        <v>0.8</v>
      </c>
      <c r="E8" s="2">
        <v>1.94</v>
      </c>
      <c r="F8" s="2">
        <v>2.54</v>
      </c>
      <c r="H8" s="11" t="s">
        <v>18</v>
      </c>
    </row>
    <row r="9" spans="1:30" ht="15" thickBot="1" x14ac:dyDescent="0.4">
      <c r="A9" s="9" t="s">
        <v>10</v>
      </c>
      <c r="B9" s="2">
        <v>1.98</v>
      </c>
      <c r="C9" s="2">
        <v>1.42</v>
      </c>
      <c r="D9" s="2">
        <v>2.39</v>
      </c>
      <c r="E9" s="2">
        <v>3.76</v>
      </c>
      <c r="F9" s="2">
        <v>3.98</v>
      </c>
      <c r="H9" s="12">
        <v>1</v>
      </c>
    </row>
    <row r="10" spans="1:30" x14ac:dyDescent="0.35">
      <c r="A10" s="10" t="s">
        <v>17</v>
      </c>
      <c r="B10" s="2">
        <f>B9^2</f>
        <v>3.9203999999999999</v>
      </c>
      <c r="C10" s="2">
        <f t="shared" ref="C10:F10" si="2">C9^2</f>
        <v>2.0164</v>
      </c>
      <c r="D10" s="2">
        <f t="shared" si="2"/>
        <v>5.7121000000000004</v>
      </c>
      <c r="E10" s="2">
        <f t="shared" si="2"/>
        <v>14.137599999999999</v>
      </c>
      <c r="F10" s="2">
        <f t="shared" si="2"/>
        <v>15.840400000000001</v>
      </c>
      <c r="H10" s="7"/>
      <c r="I10" s="21" t="s">
        <v>68</v>
      </c>
      <c r="K10" s="34">
        <f>0.05</f>
        <v>0.05</v>
      </c>
      <c r="L10" t="s">
        <v>54</v>
      </c>
    </row>
    <row r="11" spans="1:30" x14ac:dyDescent="0.35">
      <c r="I11" s="21" t="s">
        <v>69</v>
      </c>
      <c r="K11" s="34">
        <v>0.24</v>
      </c>
      <c r="L11" t="s">
        <v>54</v>
      </c>
    </row>
    <row r="12" spans="1:30" s="17" customFormat="1" x14ac:dyDescent="0.35">
      <c r="A12" s="3"/>
      <c r="I12" s="21" t="s">
        <v>67</v>
      </c>
      <c r="K12" s="46">
        <f>SUM(K10:K11)</f>
        <v>0.28999999999999998</v>
      </c>
      <c r="L12" t="s">
        <v>54</v>
      </c>
    </row>
    <row r="13" spans="1:30" s="31" customFormat="1" x14ac:dyDescent="0.35">
      <c r="A13" s="30" t="s">
        <v>33</v>
      </c>
    </row>
    <row r="14" spans="1:30" s="17" customFormat="1" ht="19" x14ac:dyDescent="0.45">
      <c r="A14" s="3" t="s">
        <v>19</v>
      </c>
      <c r="D14" s="17" t="s">
        <v>26</v>
      </c>
      <c r="I14" s="18" t="s">
        <v>30</v>
      </c>
      <c r="M14" s="17" t="s">
        <v>71</v>
      </c>
      <c r="P14" s="18"/>
      <c r="W14" s="26"/>
      <c r="X14" s="26"/>
      <c r="Y14" s="26"/>
      <c r="Z14" s="26"/>
      <c r="AA14" s="26"/>
      <c r="AB14" s="26"/>
      <c r="AD14" s="24" t="s">
        <v>31</v>
      </c>
    </row>
    <row r="15" spans="1:30" s="17" customFormat="1" ht="29" x14ac:dyDescent="0.35">
      <c r="A15" s="3"/>
      <c r="B15" s="8" t="s">
        <v>0</v>
      </c>
      <c r="C15" s="8" t="s">
        <v>1</v>
      </c>
      <c r="D15" s="8" t="s">
        <v>2</v>
      </c>
      <c r="E15" s="8" t="s">
        <v>3</v>
      </c>
      <c r="F15" s="8" t="s">
        <v>4</v>
      </c>
      <c r="G15" s="19" t="s">
        <v>20</v>
      </c>
      <c r="J15" s="8" t="s">
        <v>0</v>
      </c>
      <c r="K15" s="8" t="s">
        <v>1</v>
      </c>
      <c r="L15" s="8" t="s">
        <v>2</v>
      </c>
      <c r="M15" s="8" t="s">
        <v>3</v>
      </c>
      <c r="N15" s="8" t="s">
        <v>4</v>
      </c>
      <c r="Q15" s="8"/>
      <c r="R15" s="8"/>
      <c r="S15" s="8"/>
      <c r="T15" s="8"/>
      <c r="U15" s="8"/>
      <c r="W15" s="26"/>
      <c r="X15" s="39"/>
      <c r="Y15" s="39"/>
      <c r="Z15" s="39"/>
      <c r="AA15" s="39"/>
      <c r="AB15" s="39"/>
      <c r="AD15" s="24"/>
    </row>
    <row r="16" spans="1:30" s="17" customFormat="1" x14ac:dyDescent="0.35">
      <c r="A16" s="6" t="s">
        <v>12</v>
      </c>
      <c r="B16" s="4">
        <f>_xlfn.NORM.S.INV(0.95)*SQRT(SUM($K$5:$K$6))*B3</f>
        <v>38.07842896325964</v>
      </c>
      <c r="C16" s="4">
        <f>_xlfn.NORM.S.INV(0.95)*SQRT(SUM($K$5:$K$6))*C3</f>
        <v>35.350747805433016</v>
      </c>
      <c r="D16" s="4">
        <f>_xlfn.NORM.S.INV(0.95)*SQRT(SUM($K$5:$K$6))*D3</f>
        <v>28.695205780336057</v>
      </c>
      <c r="E16" s="4">
        <f>_xlfn.NORM.S.INV(0.95)*SQRT(SUM($K$5:$K$6))*E3</f>
        <v>18.984660858473287</v>
      </c>
      <c r="F16" s="4">
        <f>_xlfn.NORM.S.INV(0.95)*SQRT(SUM($K$5:$K$6))*F3</f>
        <v>24.494576797283063</v>
      </c>
      <c r="G16" s="20">
        <f>SUM(B16:F16)</f>
        <v>145.60362020478507</v>
      </c>
      <c r="I16" s="6" t="s">
        <v>12</v>
      </c>
      <c r="J16" s="22">
        <f>((B2*$K$5))/2</f>
        <v>106.44</v>
      </c>
      <c r="K16" s="22">
        <f t="shared" ref="K16:N16" si="3">((C2*$K$5))/2</f>
        <v>67.83</v>
      </c>
      <c r="L16" s="22">
        <f t="shared" si="3"/>
        <v>52.980000000000004</v>
      </c>
      <c r="M16" s="22">
        <f t="shared" si="3"/>
        <v>35.43</v>
      </c>
      <c r="N16" s="22">
        <f t="shared" si="3"/>
        <v>10.08</v>
      </c>
      <c r="P16" s="6"/>
      <c r="Q16" s="35"/>
      <c r="R16" s="22"/>
      <c r="S16" s="22"/>
      <c r="T16" s="22"/>
      <c r="U16" s="22"/>
      <c r="W16" s="3"/>
      <c r="X16" s="26"/>
      <c r="Y16" s="26"/>
      <c r="Z16" s="26"/>
      <c r="AA16" s="26"/>
      <c r="AB16" s="26"/>
      <c r="AD16" s="27">
        <f>X16*0.15</f>
        <v>0</v>
      </c>
    </row>
    <row r="17" spans="1:28" s="17" customFormat="1" x14ac:dyDescent="0.35">
      <c r="A17" s="6" t="s">
        <v>13</v>
      </c>
      <c r="B17" s="4">
        <f>_xlfn.NORM.S.INV(0.95)*SQRT(SUM($K$5:$K$6))*B6</f>
        <v>17.238944917464249</v>
      </c>
      <c r="C17" s="4">
        <f>_xlfn.NORM.S.INV(0.95)*SQRT(SUM($K$5:$K$6))*C6</f>
        <v>33.82324635705011</v>
      </c>
      <c r="D17" s="4">
        <f>_xlfn.NORM.S.INV(0.95)*SQRT(SUM($K$5:$K$6))*D6</f>
        <v>34.859765197024224</v>
      </c>
      <c r="E17" s="4">
        <f>_xlfn.NORM.S.INV(0.95)*SQRT(SUM($K$5:$K$6))*E6</f>
        <v>36.878249253815923</v>
      </c>
      <c r="F17" s="4">
        <f>_xlfn.NORM.S.INV(0.95)*SQRT(SUM($K$5:$K$6))*F6</f>
        <v>19.421089843725547</v>
      </c>
      <c r="G17" s="20">
        <f t="shared" ref="G17:G18" si="4">SUM(B17:F17)</f>
        <v>142.22129556908004</v>
      </c>
      <c r="I17" s="6" t="s">
        <v>13</v>
      </c>
      <c r="J17" s="22">
        <f>(($K$5*B5))/2</f>
        <v>7.4399999999999995</v>
      </c>
      <c r="K17" s="22">
        <f t="shared" ref="K17:N17" si="5">(($K$5*C5))/2</f>
        <v>12.450000000000001</v>
      </c>
      <c r="L17" s="22">
        <f t="shared" si="5"/>
        <v>18.450000000000003</v>
      </c>
      <c r="M17" s="22">
        <f t="shared" si="5"/>
        <v>18.48</v>
      </c>
      <c r="N17" s="22">
        <f t="shared" si="5"/>
        <v>22.47</v>
      </c>
      <c r="P17" s="6"/>
      <c r="Q17" s="22"/>
      <c r="R17" s="22"/>
      <c r="S17" s="22"/>
      <c r="T17" s="22"/>
      <c r="U17" s="22"/>
      <c r="W17" s="3"/>
      <c r="X17" s="26"/>
      <c r="Y17" s="26"/>
      <c r="Z17" s="26"/>
      <c r="AA17" s="26"/>
      <c r="AB17" s="26"/>
    </row>
    <row r="18" spans="1:28" s="17" customFormat="1" x14ac:dyDescent="0.35">
      <c r="A18" s="6" t="s">
        <v>14</v>
      </c>
      <c r="B18" s="4">
        <f>_xlfn.NORM.S.INV(0.95)*SQRT(SUM($K$5:$K$6))*B9</f>
        <v>10.801617384993421</v>
      </c>
      <c r="C18" s="4">
        <f t="shared" ref="C18:F18" si="6">_xlfn.NORM.S.INV(0.95)*SQRT(SUM($K$5:$K$6))*C9</f>
        <v>7.7466144882276051</v>
      </c>
      <c r="D18" s="4">
        <f t="shared" si="6"/>
        <v>13.038315934411251</v>
      </c>
      <c r="E18" s="4">
        <f t="shared" si="6"/>
        <v>20.512162306856194</v>
      </c>
      <c r="F18" s="4">
        <f t="shared" si="6"/>
        <v>21.712342016299907</v>
      </c>
      <c r="G18" s="20">
        <f t="shared" si="4"/>
        <v>73.811052130788369</v>
      </c>
      <c r="I18" s="6" t="s">
        <v>14</v>
      </c>
      <c r="J18" s="22">
        <f>(($K$5*B8))/2</f>
        <v>1.44</v>
      </c>
      <c r="K18" s="22">
        <f t="shared" ref="K18:N18" si="7">(($K$5*C8))/2</f>
        <v>2.19</v>
      </c>
      <c r="L18" s="22">
        <f t="shared" si="7"/>
        <v>2.4000000000000004</v>
      </c>
      <c r="M18" s="22">
        <f t="shared" si="7"/>
        <v>5.82</v>
      </c>
      <c r="N18" s="22">
        <f t="shared" si="7"/>
        <v>7.62</v>
      </c>
      <c r="P18" s="6"/>
      <c r="Q18" s="22"/>
      <c r="R18" s="22"/>
      <c r="S18" s="22"/>
      <c r="T18" s="22"/>
      <c r="U18" s="22"/>
      <c r="W18" s="3"/>
      <c r="X18" s="26"/>
      <c r="Y18" s="26"/>
      <c r="Z18" s="26"/>
      <c r="AA18" s="26"/>
      <c r="AB18" s="26"/>
    </row>
    <row r="19" spans="1:28" s="17" customFormat="1" x14ac:dyDescent="0.35">
      <c r="A19" s="3"/>
      <c r="B19" s="28"/>
      <c r="C19" s="28"/>
      <c r="D19" s="28"/>
      <c r="E19" s="28"/>
      <c r="F19" s="28"/>
      <c r="G19" s="29"/>
      <c r="I19" s="3"/>
      <c r="J19" s="26"/>
      <c r="K19" s="26"/>
      <c r="L19" s="26"/>
      <c r="M19" s="26"/>
      <c r="N19" s="26"/>
      <c r="P19" s="3"/>
      <c r="Q19" s="26"/>
      <c r="R19" s="26"/>
      <c r="S19" s="26"/>
      <c r="T19" s="26"/>
      <c r="U19" s="26"/>
      <c r="W19" s="3"/>
      <c r="X19" s="26"/>
      <c r="Y19" s="26"/>
      <c r="Z19" s="26"/>
      <c r="AA19" s="26"/>
      <c r="AB19" s="26"/>
    </row>
    <row r="20" spans="1:28" s="17" customFormat="1" x14ac:dyDescent="0.35">
      <c r="A20" s="3"/>
      <c r="B20" s="28"/>
      <c r="C20" s="28"/>
      <c r="D20" s="28"/>
      <c r="E20" s="28"/>
      <c r="F20" s="28"/>
      <c r="G20" s="29"/>
      <c r="I20" s="3"/>
      <c r="J20" s="26"/>
      <c r="K20" s="26"/>
      <c r="L20" s="26"/>
      <c r="M20" s="26"/>
      <c r="N20" s="26"/>
      <c r="P20" s="3"/>
      <c r="Q20" s="26"/>
      <c r="R20" s="26"/>
      <c r="S20" s="26"/>
      <c r="T20" s="26"/>
      <c r="U20" s="26"/>
      <c r="W20" s="3"/>
      <c r="X20" s="26"/>
      <c r="Y20" s="26"/>
      <c r="Z20" s="26"/>
      <c r="AA20" s="26"/>
      <c r="AB20" s="26"/>
    </row>
    <row r="21" spans="1:28" s="17" customFormat="1" x14ac:dyDescent="0.35">
      <c r="A21" s="3" t="s">
        <v>46</v>
      </c>
      <c r="D21" s="17" t="s">
        <v>62</v>
      </c>
      <c r="I21" s="18" t="s">
        <v>43</v>
      </c>
      <c r="M21" s="17" t="s">
        <v>45</v>
      </c>
      <c r="P21" s="18" t="s">
        <v>44</v>
      </c>
      <c r="W21" s="3" t="s">
        <v>47</v>
      </c>
      <c r="X21" s="26"/>
      <c r="Y21" s="26"/>
      <c r="Z21" s="26"/>
      <c r="AA21" s="26"/>
      <c r="AB21" s="26"/>
    </row>
    <row r="22" spans="1:28" s="17" customFormat="1" x14ac:dyDescent="0.35">
      <c r="A22" s="3"/>
      <c r="B22" s="8" t="s">
        <v>0</v>
      </c>
      <c r="C22" s="8" t="s">
        <v>1</v>
      </c>
      <c r="D22" s="8" t="s">
        <v>2</v>
      </c>
      <c r="E22" s="8" t="s">
        <v>3</v>
      </c>
      <c r="F22" s="8" t="s">
        <v>4</v>
      </c>
      <c r="G22" s="38"/>
      <c r="J22" s="8" t="s">
        <v>0</v>
      </c>
      <c r="K22" s="8" t="s">
        <v>1</v>
      </c>
      <c r="L22" s="8" t="s">
        <v>2</v>
      </c>
      <c r="M22" s="8" t="s">
        <v>3</v>
      </c>
      <c r="N22" s="8" t="s">
        <v>4</v>
      </c>
      <c r="Q22" s="8" t="s">
        <v>0</v>
      </c>
      <c r="R22" s="8" t="s">
        <v>1</v>
      </c>
      <c r="S22" s="8" t="s">
        <v>2</v>
      </c>
      <c r="T22" s="8" t="s">
        <v>3</v>
      </c>
      <c r="U22" s="8" t="s">
        <v>4</v>
      </c>
      <c r="X22" s="8" t="s">
        <v>0</v>
      </c>
      <c r="Y22" s="8" t="s">
        <v>1</v>
      </c>
      <c r="Z22" s="8" t="s">
        <v>2</v>
      </c>
      <c r="AA22" s="8" t="s">
        <v>3</v>
      </c>
      <c r="AB22" s="8" t="s">
        <v>4</v>
      </c>
    </row>
    <row r="23" spans="1:28" s="17" customFormat="1" x14ac:dyDescent="0.35">
      <c r="A23" s="6" t="s">
        <v>12</v>
      </c>
      <c r="B23" s="36">
        <f>B16*$K$4</f>
        <v>2084.7939857384654</v>
      </c>
      <c r="C23" s="36">
        <f t="shared" ref="C23:F23" si="8">C16*$K$4</f>
        <v>1935.4534423474577</v>
      </c>
      <c r="D23" s="36">
        <f t="shared" si="8"/>
        <v>1571.062516473399</v>
      </c>
      <c r="E23" s="36">
        <f t="shared" si="8"/>
        <v>1039.4101820014125</v>
      </c>
      <c r="F23" s="36">
        <f t="shared" si="8"/>
        <v>1341.0780796512477</v>
      </c>
      <c r="G23" s="37"/>
      <c r="I23" s="6" t="s">
        <v>12</v>
      </c>
      <c r="J23" s="35">
        <f>J16*$K$4</f>
        <v>5827.59</v>
      </c>
      <c r="K23" s="35">
        <f t="shared" ref="K23:N23" si="9">K16*$K$4</f>
        <v>3713.6925000000001</v>
      </c>
      <c r="L23" s="35">
        <f t="shared" si="9"/>
        <v>2900.6550000000002</v>
      </c>
      <c r="M23" s="35">
        <f t="shared" si="9"/>
        <v>1939.7925</v>
      </c>
      <c r="N23" s="35">
        <f t="shared" si="9"/>
        <v>551.88</v>
      </c>
      <c r="P23" s="6" t="s">
        <v>12</v>
      </c>
      <c r="Q23" s="35">
        <f>365*B2*$K$7*($K$4/365)</f>
        <v>7770.119999999999</v>
      </c>
      <c r="R23" s="35">
        <f t="shared" ref="R23:U23" si="10">365*C2*$K$7*($K$4/365)</f>
        <v>4951.5899999999992</v>
      </c>
      <c r="S23" s="35">
        <f t="shared" si="10"/>
        <v>3867.5399999999995</v>
      </c>
      <c r="T23" s="35">
        <f t="shared" si="10"/>
        <v>2586.3900000000003</v>
      </c>
      <c r="U23" s="35">
        <f t="shared" si="10"/>
        <v>735.83999999999992</v>
      </c>
      <c r="W23" s="6" t="s">
        <v>12</v>
      </c>
      <c r="X23" s="35">
        <f>Q23+J23+B23</f>
        <v>15682.503985738465</v>
      </c>
      <c r="Y23" s="35">
        <f t="shared" ref="Y23:AB25" si="11">R23+K23+C23</f>
        <v>10600.735942347457</v>
      </c>
      <c r="Z23" s="35">
        <f t="shared" si="11"/>
        <v>8339.2575164733989</v>
      </c>
      <c r="AA23" s="35">
        <f t="shared" si="11"/>
        <v>5565.5926820014138</v>
      </c>
      <c r="AB23" s="35">
        <f t="shared" si="11"/>
        <v>2628.7980796512475</v>
      </c>
    </row>
    <row r="24" spans="1:28" s="17" customFormat="1" x14ac:dyDescent="0.35">
      <c r="A24" s="6" t="s">
        <v>13</v>
      </c>
      <c r="B24" s="36">
        <f t="shared" ref="B24:F25" si="12">B17*$K$4</f>
        <v>943.8322342311676</v>
      </c>
      <c r="C24" s="36">
        <f t="shared" si="12"/>
        <v>1851.8227380484934</v>
      </c>
      <c r="D24" s="36">
        <f t="shared" si="12"/>
        <v>1908.5721445370762</v>
      </c>
      <c r="E24" s="36">
        <f t="shared" si="12"/>
        <v>2019.0841466464217</v>
      </c>
      <c r="F24" s="36">
        <f t="shared" si="12"/>
        <v>1063.3046689439736</v>
      </c>
      <c r="G24" s="37"/>
      <c r="I24" s="6" t="s">
        <v>13</v>
      </c>
      <c r="J24" s="35">
        <f t="shared" ref="J24:N25" si="13">J17*$K$4</f>
        <v>407.34</v>
      </c>
      <c r="K24" s="35">
        <f t="shared" si="13"/>
        <v>681.63750000000005</v>
      </c>
      <c r="L24" s="35">
        <f t="shared" si="13"/>
        <v>1010.1375000000002</v>
      </c>
      <c r="M24" s="35">
        <f t="shared" si="13"/>
        <v>1011.78</v>
      </c>
      <c r="N24" s="35">
        <f t="shared" si="13"/>
        <v>1230.2324999999998</v>
      </c>
      <c r="P24" s="6" t="s">
        <v>13</v>
      </c>
      <c r="Q24" s="35">
        <f>365*B5*$K$7*($K$4/365)</f>
        <v>543.12</v>
      </c>
      <c r="R24" s="35">
        <f t="shared" ref="R24:U24" si="14">365*C5*$K$7*($K$4/365)</f>
        <v>908.85000000000014</v>
      </c>
      <c r="S24" s="35">
        <f t="shared" si="14"/>
        <v>1346.85</v>
      </c>
      <c r="T24" s="35">
        <f t="shared" si="14"/>
        <v>1349.04</v>
      </c>
      <c r="U24" s="35">
        <f t="shared" si="14"/>
        <v>1640.31</v>
      </c>
      <c r="W24" s="6" t="s">
        <v>13</v>
      </c>
      <c r="X24" s="35">
        <f t="shared" ref="X24:X25" si="15">Q24+J24+B24</f>
        <v>1894.2922342311676</v>
      </c>
      <c r="Y24" s="35">
        <f t="shared" si="11"/>
        <v>3442.3102380484934</v>
      </c>
      <c r="Z24" s="35">
        <f t="shared" si="11"/>
        <v>4265.5596445370766</v>
      </c>
      <c r="AA24" s="35">
        <f t="shared" si="11"/>
        <v>4379.9041466464214</v>
      </c>
      <c r="AB24" s="35">
        <f t="shared" si="11"/>
        <v>3933.847168943973</v>
      </c>
    </row>
    <row r="25" spans="1:28" s="17" customFormat="1" x14ac:dyDescent="0.35">
      <c r="A25" s="6" t="s">
        <v>14</v>
      </c>
      <c r="B25" s="36">
        <f t="shared" si="12"/>
        <v>591.38855182838972</v>
      </c>
      <c r="C25" s="36">
        <f t="shared" si="12"/>
        <v>424.1271432304614</v>
      </c>
      <c r="D25" s="36">
        <f t="shared" si="12"/>
        <v>713.84779740901604</v>
      </c>
      <c r="E25" s="36">
        <f t="shared" si="12"/>
        <v>1123.0408863003765</v>
      </c>
      <c r="F25" s="36">
        <f t="shared" si="12"/>
        <v>1188.75072539242</v>
      </c>
      <c r="G25" s="37"/>
      <c r="I25" s="6" t="s">
        <v>14</v>
      </c>
      <c r="J25" s="35">
        <f t="shared" si="13"/>
        <v>78.84</v>
      </c>
      <c r="K25" s="35">
        <f t="shared" si="13"/>
        <v>119.9025</v>
      </c>
      <c r="L25" s="35">
        <f t="shared" si="13"/>
        <v>131.4</v>
      </c>
      <c r="M25" s="35">
        <f t="shared" si="13"/>
        <v>318.64500000000004</v>
      </c>
      <c r="N25" s="35">
        <f t="shared" si="13"/>
        <v>417.19499999999999</v>
      </c>
      <c r="P25" s="6" t="s">
        <v>14</v>
      </c>
      <c r="Q25" s="35">
        <f>365*B8*$K$7*($K$4/365)</f>
        <v>105.11999999999999</v>
      </c>
      <c r="R25" s="35">
        <f t="shared" ref="R25:U25" si="16">365*C8*$K$7*($K$4/365)</f>
        <v>159.86999999999998</v>
      </c>
      <c r="S25" s="35">
        <f t="shared" si="16"/>
        <v>175.2</v>
      </c>
      <c r="T25" s="35">
        <f t="shared" si="16"/>
        <v>424.86</v>
      </c>
      <c r="U25" s="35">
        <f t="shared" si="16"/>
        <v>556.26</v>
      </c>
      <c r="W25" s="6" t="s">
        <v>14</v>
      </c>
      <c r="X25" s="35">
        <f t="shared" si="15"/>
        <v>775.34855182838965</v>
      </c>
      <c r="Y25" s="35">
        <f t="shared" si="11"/>
        <v>703.89964323046138</v>
      </c>
      <c r="Z25" s="35">
        <f t="shared" si="11"/>
        <v>1020.4477974090161</v>
      </c>
      <c r="AA25" s="35">
        <f t="shared" si="11"/>
        <v>1866.5458863003767</v>
      </c>
      <c r="AB25" s="35">
        <f t="shared" si="11"/>
        <v>2162.2057253924199</v>
      </c>
    </row>
    <row r="26" spans="1:28" s="17" customFormat="1" x14ac:dyDescent="0.35">
      <c r="A26" s="3"/>
      <c r="B26" s="28"/>
      <c r="C26" s="28"/>
      <c r="D26" s="28"/>
      <c r="E26" s="28"/>
      <c r="F26" s="28"/>
      <c r="G26" s="29"/>
      <c r="I26" s="3"/>
      <c r="J26" s="26"/>
      <c r="K26" s="26"/>
      <c r="L26" s="26"/>
      <c r="M26" s="26"/>
      <c r="N26" s="26"/>
      <c r="P26" s="3"/>
      <c r="Q26" s="26"/>
      <c r="R26" s="26"/>
      <c r="S26" s="26"/>
      <c r="T26" s="26"/>
      <c r="U26" s="26"/>
      <c r="W26" s="3"/>
      <c r="X26" s="26"/>
      <c r="Y26" s="26"/>
      <c r="Z26" s="26"/>
      <c r="AA26" s="26"/>
      <c r="AB26" s="26"/>
    </row>
    <row r="27" spans="1:28" s="31" customFormat="1" x14ac:dyDescent="0.35">
      <c r="A27" s="30" t="s">
        <v>34</v>
      </c>
    </row>
    <row r="28" spans="1:28" s="17" customFormat="1" x14ac:dyDescent="0.35">
      <c r="A28" s="3" t="s">
        <v>35</v>
      </c>
      <c r="B28" s="28"/>
      <c r="C28" s="28"/>
      <c r="D28" s="28"/>
      <c r="E28" s="28" t="s">
        <v>55</v>
      </c>
      <c r="G28" s="29"/>
      <c r="I28" s="3" t="s">
        <v>56</v>
      </c>
      <c r="J28" s="26"/>
      <c r="K28" s="26"/>
      <c r="L28" s="26"/>
      <c r="M28" s="26"/>
      <c r="N28" s="26"/>
      <c r="P28" s="3"/>
      <c r="Q28" s="26"/>
      <c r="R28" s="26"/>
      <c r="S28" s="26"/>
      <c r="T28" s="26"/>
      <c r="U28" s="26"/>
      <c r="W28" s="3"/>
      <c r="X28" s="26"/>
      <c r="Y28" s="26"/>
      <c r="Z28" s="26"/>
      <c r="AA28" s="26"/>
      <c r="AB28" s="26"/>
    </row>
    <row r="29" spans="1:28" s="17" customFormat="1" x14ac:dyDescent="0.35">
      <c r="A29" s="3"/>
      <c r="B29" s="8" t="s">
        <v>0</v>
      </c>
      <c r="C29" s="8" t="s">
        <v>1</v>
      </c>
      <c r="D29" s="8" t="s">
        <v>2</v>
      </c>
      <c r="E29" s="8" t="s">
        <v>3</v>
      </c>
      <c r="F29" s="8" t="s">
        <v>4</v>
      </c>
      <c r="G29" s="29"/>
      <c r="I29" s="3"/>
      <c r="J29" s="8" t="s">
        <v>0</v>
      </c>
      <c r="K29" s="8" t="s">
        <v>1</v>
      </c>
      <c r="L29" s="8" t="s">
        <v>2</v>
      </c>
      <c r="M29" s="8" t="s">
        <v>3</v>
      </c>
      <c r="N29" s="8" t="s">
        <v>4</v>
      </c>
      <c r="O29" s="15" t="s">
        <v>57</v>
      </c>
      <c r="P29" s="3"/>
      <c r="Q29" s="26"/>
      <c r="R29" s="26"/>
      <c r="S29" s="26"/>
      <c r="T29" s="26"/>
      <c r="U29" s="26"/>
      <c r="W29" s="3"/>
      <c r="X29" s="26"/>
      <c r="Y29" s="26"/>
      <c r="Z29" s="26"/>
      <c r="AA29" s="26"/>
      <c r="AB29" s="26"/>
    </row>
    <row r="30" spans="1:28" s="17" customFormat="1" x14ac:dyDescent="0.35">
      <c r="A30" s="6" t="s">
        <v>12</v>
      </c>
      <c r="B30" s="36">
        <f>B2*365*$K$3</f>
        <v>2460.538</v>
      </c>
      <c r="C30" s="36">
        <f t="shared" ref="C30:F30" si="17">C2*365*$K$3</f>
        <v>1568.0035</v>
      </c>
      <c r="D30" s="36">
        <f t="shared" si="17"/>
        <v>1224.721</v>
      </c>
      <c r="E30" s="36">
        <f t="shared" si="17"/>
        <v>819.02350000000013</v>
      </c>
      <c r="F30" s="36">
        <f t="shared" si="17"/>
        <v>233.01599999999996</v>
      </c>
      <c r="G30" s="29"/>
      <c r="I30" s="6" t="s">
        <v>12</v>
      </c>
      <c r="J30" s="36">
        <f>X23+B30</f>
        <v>18143.041985738466</v>
      </c>
      <c r="K30" s="36">
        <f t="shared" ref="K30:N32" si="18">Y23+C30</f>
        <v>12168.739442347458</v>
      </c>
      <c r="L30" s="36">
        <f t="shared" si="18"/>
        <v>9563.9785164733985</v>
      </c>
      <c r="M30" s="36">
        <f t="shared" si="18"/>
        <v>6384.616182001414</v>
      </c>
      <c r="N30" s="36">
        <f t="shared" si="18"/>
        <v>2861.8140796512475</v>
      </c>
      <c r="O30" s="35">
        <f>SUM(J30:N30)*O1</f>
        <v>491221.90206211986</v>
      </c>
      <c r="P30" s="3"/>
      <c r="Q30" s="26"/>
      <c r="R30" s="26"/>
      <c r="S30" s="26"/>
      <c r="T30" s="26"/>
      <c r="U30" s="26"/>
      <c r="W30" s="3"/>
      <c r="X30" s="26"/>
      <c r="Y30" s="26"/>
      <c r="Z30" s="26"/>
      <c r="AA30" s="26"/>
      <c r="AB30" s="26"/>
    </row>
    <row r="31" spans="1:28" s="17" customFormat="1" x14ac:dyDescent="0.35">
      <c r="A31" s="6" t="s">
        <v>13</v>
      </c>
      <c r="B31" s="36">
        <f>B5*365*$K$3</f>
        <v>171.988</v>
      </c>
      <c r="C31" s="36">
        <f t="shared" ref="C31:F31" si="19">C5*365*$K$3</f>
        <v>287.80250000000007</v>
      </c>
      <c r="D31" s="36">
        <f t="shared" si="19"/>
        <v>426.5025</v>
      </c>
      <c r="E31" s="36">
        <f t="shared" si="19"/>
        <v>427.19600000000003</v>
      </c>
      <c r="F31" s="36">
        <f t="shared" si="19"/>
        <v>519.43150000000003</v>
      </c>
      <c r="G31" s="29"/>
      <c r="I31" s="6" t="s">
        <v>13</v>
      </c>
      <c r="J31" s="36">
        <f t="shared" ref="J31" si="20">X24+B31</f>
        <v>2066.2802342311675</v>
      </c>
      <c r="K31" s="36">
        <f t="shared" si="18"/>
        <v>3730.1127380484936</v>
      </c>
      <c r="L31" s="36">
        <f t="shared" si="18"/>
        <v>4692.0621445370762</v>
      </c>
      <c r="M31" s="36">
        <f t="shared" si="18"/>
        <v>4807.1001466464213</v>
      </c>
      <c r="N31" s="36">
        <f t="shared" si="18"/>
        <v>4453.2786689439727</v>
      </c>
      <c r="O31" s="35">
        <f t="shared" ref="O31:O32" si="21">SUM(J31:N31)*O2</f>
        <v>394976.67864814273</v>
      </c>
      <c r="P31" s="3"/>
      <c r="Q31" s="26"/>
      <c r="R31" s="26"/>
      <c r="S31" s="26"/>
      <c r="T31" s="26"/>
      <c r="U31" s="26"/>
      <c r="W31" s="3"/>
      <c r="X31" s="26"/>
      <c r="Y31" s="26"/>
      <c r="Z31" s="26"/>
      <c r="AA31" s="26"/>
      <c r="AB31" s="26"/>
    </row>
    <row r="32" spans="1:28" s="17" customFormat="1" x14ac:dyDescent="0.35">
      <c r="A32" s="6" t="s">
        <v>14</v>
      </c>
      <c r="B32" s="36">
        <f>B8*365*$K$3</f>
        <v>33.287999999999997</v>
      </c>
      <c r="C32" s="36">
        <f t="shared" ref="C32:E32" si="22">C8*365*$K$3</f>
        <v>50.625499999999995</v>
      </c>
      <c r="D32" s="36">
        <f t="shared" si="22"/>
        <v>55.480000000000004</v>
      </c>
      <c r="E32" s="36">
        <f t="shared" si="22"/>
        <v>134.53900000000002</v>
      </c>
      <c r="F32" s="36">
        <f>F8*365*$K$3</f>
        <v>176.149</v>
      </c>
      <c r="G32" s="29"/>
      <c r="I32" s="6" t="s">
        <v>14</v>
      </c>
      <c r="J32" s="36">
        <f>X25+B32</f>
        <v>808.63655182838966</v>
      </c>
      <c r="K32" s="36">
        <f t="shared" si="18"/>
        <v>754.52514323046137</v>
      </c>
      <c r="L32" s="36">
        <f t="shared" si="18"/>
        <v>1075.927797409016</v>
      </c>
      <c r="M32" s="36">
        <f t="shared" si="18"/>
        <v>2001.0848863003766</v>
      </c>
      <c r="N32" s="36">
        <f t="shared" si="18"/>
        <v>2338.3547253924198</v>
      </c>
      <c r="O32" s="35">
        <f t="shared" si="21"/>
        <v>488497.03729124641</v>
      </c>
      <c r="P32" s="3"/>
      <c r="Q32" s="26"/>
      <c r="R32" s="26"/>
      <c r="S32" s="26"/>
      <c r="T32" s="26"/>
      <c r="U32" s="26"/>
      <c r="W32" s="3"/>
      <c r="X32" s="26"/>
      <c r="Y32" s="26"/>
      <c r="Z32" s="26"/>
      <c r="AA32" s="26"/>
      <c r="AB32" s="26"/>
    </row>
    <row r="33" spans="1:28" s="17" customFormat="1" x14ac:dyDescent="0.35">
      <c r="A33" s="3"/>
      <c r="B33" s="28"/>
      <c r="C33" s="28"/>
      <c r="D33" s="28"/>
      <c r="E33" s="28"/>
      <c r="F33" s="28"/>
      <c r="G33" s="29"/>
      <c r="I33" s="3"/>
      <c r="J33" s="26"/>
      <c r="K33" s="26"/>
      <c r="L33" s="26"/>
      <c r="M33" s="26"/>
      <c r="N33" s="44" t="s">
        <v>61</v>
      </c>
      <c r="O33" s="54">
        <f>SUM(O30:O32)</f>
        <v>1374695.618001509</v>
      </c>
      <c r="P33" s="3"/>
      <c r="Q33" s="26"/>
      <c r="R33" s="26"/>
      <c r="S33" s="26"/>
      <c r="T33" s="26"/>
      <c r="U33" s="26"/>
      <c r="W33" s="3"/>
      <c r="X33" s="26"/>
      <c r="Y33" s="26"/>
      <c r="Z33" s="26"/>
      <c r="AA33" s="26"/>
      <c r="AB33" s="26"/>
    </row>
    <row r="34" spans="1:28" s="17" customFormat="1" x14ac:dyDescent="0.35">
      <c r="A34" s="3"/>
      <c r="B34" s="28"/>
      <c r="C34" s="28"/>
      <c r="D34" s="28"/>
      <c r="E34" s="28"/>
      <c r="F34" s="28"/>
      <c r="G34" s="29"/>
      <c r="I34" s="3"/>
      <c r="J34" s="26"/>
      <c r="K34" s="26"/>
      <c r="L34" s="26"/>
      <c r="M34" s="26"/>
      <c r="N34" s="26"/>
      <c r="P34" s="3"/>
      <c r="Q34" s="26"/>
      <c r="R34" s="26"/>
      <c r="S34" s="26"/>
      <c r="T34" s="26"/>
      <c r="U34" s="26"/>
      <c r="W34" s="3"/>
      <c r="X34" s="26"/>
      <c r="Y34" s="26"/>
      <c r="Z34" s="26"/>
      <c r="AA34" s="26"/>
      <c r="AB34" s="26"/>
    </row>
    <row r="35" spans="1:28" s="17" customFormat="1" x14ac:dyDescent="0.35">
      <c r="A35" s="3"/>
    </row>
    <row r="36" spans="1:28" s="33" customFormat="1" x14ac:dyDescent="0.35">
      <c r="A36" s="32" t="s">
        <v>32</v>
      </c>
    </row>
    <row r="37" spans="1:28" s="17" customFormat="1" x14ac:dyDescent="0.35">
      <c r="A37" s="3"/>
    </row>
    <row r="38" spans="1:28" ht="21" x14ac:dyDescent="0.55000000000000004">
      <c r="A38" s="3" t="s">
        <v>27</v>
      </c>
      <c r="B38" t="s">
        <v>28</v>
      </c>
    </row>
    <row r="39" spans="1:28" x14ac:dyDescent="0.35">
      <c r="A39" s="13" t="s">
        <v>12</v>
      </c>
      <c r="B39" s="8" t="s">
        <v>0</v>
      </c>
      <c r="C39" s="8" t="s">
        <v>1</v>
      </c>
      <c r="D39" s="8" t="s">
        <v>2</v>
      </c>
      <c r="E39" s="8" t="s">
        <v>3</v>
      </c>
      <c r="F39" s="8" t="s">
        <v>4</v>
      </c>
      <c r="H39" s="14" t="s">
        <v>13</v>
      </c>
      <c r="I39" s="8" t="s">
        <v>0</v>
      </c>
      <c r="J39" s="8" t="s">
        <v>1</v>
      </c>
      <c r="K39" s="8" t="s">
        <v>2</v>
      </c>
      <c r="L39" s="8" t="s">
        <v>3</v>
      </c>
      <c r="M39" s="8" t="s">
        <v>4</v>
      </c>
      <c r="O39" s="14" t="s">
        <v>14</v>
      </c>
      <c r="P39" s="8" t="s">
        <v>0</v>
      </c>
      <c r="Q39" s="8" t="s">
        <v>1</v>
      </c>
      <c r="R39" s="8" t="s">
        <v>2</v>
      </c>
      <c r="S39" s="8" t="s">
        <v>3</v>
      </c>
      <c r="T39" s="8" t="s">
        <v>4</v>
      </c>
    </row>
    <row r="40" spans="1:28" x14ac:dyDescent="0.35">
      <c r="A40" s="5" t="s">
        <v>0</v>
      </c>
      <c r="B40" s="4"/>
      <c r="C40" s="4">
        <f>$H$9*$B$3*C3</f>
        <v>45.230400000000003</v>
      </c>
      <c r="D40" s="4">
        <f>$H$9*$B$3*D3</f>
        <v>36.714800000000004</v>
      </c>
      <c r="E40" s="4">
        <f>$H$9*$B$3*E3</f>
        <v>24.290400000000002</v>
      </c>
      <c r="F40" s="4">
        <f>$H$9*$B$3*F3</f>
        <v>31.340200000000003</v>
      </c>
      <c r="H40" s="5" t="s">
        <v>0</v>
      </c>
      <c r="I40" s="4"/>
      <c r="J40" s="4">
        <f>$H$9*$B$6*C6</f>
        <v>19.592000000000002</v>
      </c>
      <c r="K40" s="4">
        <f t="shared" ref="K40:M40" si="23">$H$9*$B$6*D6</f>
        <v>20.192399999999999</v>
      </c>
      <c r="L40" s="4">
        <f t="shared" si="23"/>
        <v>21.361599999999999</v>
      </c>
      <c r="M40" s="4">
        <f t="shared" si="23"/>
        <v>11.249600000000001</v>
      </c>
      <c r="O40" s="5" t="s">
        <v>0</v>
      </c>
      <c r="P40" s="4"/>
      <c r="Q40" s="4">
        <f>$H$9*$B$9*C9</f>
        <v>2.8115999999999999</v>
      </c>
      <c r="R40" s="4">
        <f t="shared" ref="R40:T40" si="24">$H$9*$B$9*D9</f>
        <v>4.7322000000000006</v>
      </c>
      <c r="S40" s="4">
        <f t="shared" si="24"/>
        <v>7.4447999999999999</v>
      </c>
      <c r="T40" s="4">
        <f t="shared" si="24"/>
        <v>7.8803999999999998</v>
      </c>
    </row>
    <row r="41" spans="1:28" x14ac:dyDescent="0.35">
      <c r="A41" s="5" t="s">
        <v>1</v>
      </c>
      <c r="B41" s="4"/>
      <c r="C41" s="4"/>
      <c r="D41" s="4">
        <f>$H$9*$C$3*D3</f>
        <v>34.084800000000001</v>
      </c>
      <c r="E41" s="4">
        <f t="shared" ref="E41:F41" si="25">$H$9*$C$3*E3</f>
        <v>22.5504</v>
      </c>
      <c r="F41" s="4">
        <f t="shared" si="25"/>
        <v>29.095200000000002</v>
      </c>
      <c r="H41" s="5" t="s">
        <v>1</v>
      </c>
      <c r="I41" s="4"/>
      <c r="J41" s="4"/>
      <c r="K41" s="4">
        <f>$H$9*$C$6*D6</f>
        <v>39.618000000000002</v>
      </c>
      <c r="L41" s="4">
        <f t="shared" ref="L41:M41" si="26">$H$9*$C$6*E6</f>
        <v>41.911999999999999</v>
      </c>
      <c r="M41" s="4">
        <f t="shared" si="26"/>
        <v>22.072000000000003</v>
      </c>
      <c r="O41" s="5" t="s">
        <v>1</v>
      </c>
      <c r="P41" s="4"/>
      <c r="Q41" s="4"/>
      <c r="R41" s="4">
        <f>$H$9*$C$9*D9</f>
        <v>3.3938000000000001</v>
      </c>
      <c r="S41" s="4">
        <f t="shared" ref="S41:T41" si="27">$H$9*$C$9*E9</f>
        <v>5.3391999999999991</v>
      </c>
      <c r="T41" s="4">
        <f t="shared" si="27"/>
        <v>5.6515999999999993</v>
      </c>
    </row>
    <row r="42" spans="1:28" x14ac:dyDescent="0.35">
      <c r="A42" s="5" t="s">
        <v>2</v>
      </c>
      <c r="B42" s="4"/>
      <c r="C42" s="4"/>
      <c r="D42" s="4"/>
      <c r="E42" s="4">
        <f>$H$9*$D$3*E3</f>
        <v>18.3048</v>
      </c>
      <c r="F42" s="4">
        <f>$H$9*$D$3*F3</f>
        <v>23.6174</v>
      </c>
      <c r="H42" s="5" t="s">
        <v>2</v>
      </c>
      <c r="I42" s="4"/>
      <c r="J42" s="4"/>
      <c r="K42" s="4"/>
      <c r="L42" s="4">
        <f>$H$9*$D$6*E6</f>
        <v>43.196399999999997</v>
      </c>
      <c r="M42" s="4">
        <f>$H$9*$D$6*F6</f>
        <v>22.7484</v>
      </c>
      <c r="O42" s="5" t="s">
        <v>2</v>
      </c>
      <c r="P42" s="4"/>
      <c r="Q42" s="4"/>
      <c r="R42" s="4"/>
      <c r="S42" s="4">
        <f>$H$9*$D$9*E9</f>
        <v>8.9863999999999997</v>
      </c>
      <c r="T42" s="4">
        <f>$H$9*$D$9*F9</f>
        <v>9.5122</v>
      </c>
    </row>
    <row r="43" spans="1:28" x14ac:dyDescent="0.35">
      <c r="A43" s="5" t="s">
        <v>3</v>
      </c>
      <c r="B43" s="4"/>
      <c r="C43" s="4"/>
      <c r="D43" s="4"/>
      <c r="E43" s="4"/>
      <c r="F43" s="4">
        <f>$H$9*E3*F3</f>
        <v>15.625200000000001</v>
      </c>
      <c r="H43" s="5" t="s">
        <v>3</v>
      </c>
      <c r="I43" s="4"/>
      <c r="J43" s="4"/>
      <c r="K43" s="4"/>
      <c r="L43" s="4"/>
      <c r="M43" s="4">
        <f>$H$9*E6*F6</f>
        <v>24.0656</v>
      </c>
      <c r="O43" s="5" t="s">
        <v>3</v>
      </c>
      <c r="P43" s="4"/>
      <c r="Q43" s="4"/>
      <c r="R43" s="4"/>
      <c r="S43" s="4"/>
      <c r="T43" s="4">
        <f>$H$9*$E$9*F9</f>
        <v>14.964799999999999</v>
      </c>
    </row>
    <row r="44" spans="1:28" x14ac:dyDescent="0.35">
      <c r="A44" s="5" t="s">
        <v>4</v>
      </c>
      <c r="B44" s="4"/>
      <c r="C44" s="4"/>
      <c r="D44" s="4"/>
      <c r="E44" s="4"/>
      <c r="F44" s="4"/>
      <c r="H44" s="5" t="s">
        <v>4</v>
      </c>
      <c r="I44" s="4"/>
      <c r="J44" s="4"/>
      <c r="K44" s="4"/>
      <c r="L44" s="4"/>
      <c r="M44" s="4"/>
      <c r="O44" s="5" t="s">
        <v>4</v>
      </c>
      <c r="P44" s="4"/>
      <c r="Q44" s="4"/>
      <c r="R44" s="4"/>
      <c r="S44" s="4"/>
      <c r="T44" s="4"/>
    </row>
    <row r="46" spans="1:28" x14ac:dyDescent="0.35">
      <c r="A46" s="8" t="s">
        <v>11</v>
      </c>
      <c r="B46" s="15" t="s">
        <v>70</v>
      </c>
      <c r="C46" s="15" t="s">
        <v>63</v>
      </c>
    </row>
    <row r="47" spans="1:28" x14ac:dyDescent="0.35">
      <c r="A47" s="15" t="s">
        <v>12</v>
      </c>
      <c r="B47" s="4">
        <f>SQRT(SUM(B4:F4)+(2*SUM(B40:F44)))</f>
        <v>26.69</v>
      </c>
      <c r="C47" s="4">
        <f>SUM(B2:F2)</f>
        <v>90.92</v>
      </c>
    </row>
    <row r="48" spans="1:28" x14ac:dyDescent="0.35">
      <c r="A48" s="16" t="s">
        <v>13</v>
      </c>
      <c r="B48" s="4">
        <f>SQRT(SUM(B7:F7)+(2*SUM(I40:M44)))</f>
        <v>26.07</v>
      </c>
      <c r="C48" s="4">
        <f>SUM(B5:F5)</f>
        <v>26.43</v>
      </c>
    </row>
    <row r="49" spans="1:10" x14ac:dyDescent="0.35">
      <c r="A49" s="16" t="s">
        <v>14</v>
      </c>
      <c r="B49" s="4">
        <f>SQRT(SUM(B10:F10)+(2*SUM(P40:T44)))</f>
        <v>13.53</v>
      </c>
      <c r="C49" s="4">
        <f>SUM(B8:F8)</f>
        <v>6.49</v>
      </c>
    </row>
    <row r="51" spans="1:10" ht="19" x14ac:dyDescent="0.45">
      <c r="A51" s="3" t="s">
        <v>19</v>
      </c>
      <c r="B51" s="17"/>
      <c r="C51" s="17" t="s">
        <v>26</v>
      </c>
      <c r="D51" s="18" t="s">
        <v>30</v>
      </c>
      <c r="E51" s="17"/>
      <c r="F51" s="17" t="s">
        <v>39</v>
      </c>
      <c r="G51" s="17"/>
      <c r="H51" s="18" t="s">
        <v>86</v>
      </c>
      <c r="I51" s="17"/>
      <c r="J51" s="17" t="s">
        <v>42</v>
      </c>
    </row>
    <row r="52" spans="1:10" ht="43.5" x14ac:dyDescent="0.35">
      <c r="A52" s="3"/>
      <c r="B52" s="8" t="s">
        <v>64</v>
      </c>
      <c r="D52" s="17"/>
      <c r="E52" s="8" t="s">
        <v>65</v>
      </c>
      <c r="H52" s="8" t="s">
        <v>75</v>
      </c>
      <c r="I52" s="8" t="s">
        <v>87</v>
      </c>
    </row>
    <row r="53" spans="1:10" x14ac:dyDescent="0.35">
      <c r="A53" s="6" t="s">
        <v>12</v>
      </c>
      <c r="B53" s="4">
        <f>_xlfn.NORM.S.INV(0.95)*SQRT(SUM($K$5:$K$6))*B47</f>
        <v>145.60362020478507</v>
      </c>
      <c r="D53" s="6" t="s">
        <v>12</v>
      </c>
      <c r="E53" s="22">
        <f>((C47*$K$5))/2</f>
        <v>272.76</v>
      </c>
      <c r="H53" s="6" t="s">
        <v>12</v>
      </c>
      <c r="I53" s="35">
        <f>365*C47*$P$7*($K$4/365)</f>
        <v>14933.61</v>
      </c>
    </row>
    <row r="54" spans="1:10" x14ac:dyDescent="0.35">
      <c r="A54" s="6" t="s">
        <v>13</v>
      </c>
      <c r="B54" s="4">
        <f t="shared" ref="B54:B55" si="28">_xlfn.NORM.S.INV(0.95)*SQRT(SUM($K$5:$K$6))*B48</f>
        <v>142.22129556908004</v>
      </c>
      <c r="D54" s="6" t="s">
        <v>13</v>
      </c>
      <c r="E54" s="22">
        <f>(($K$5*C48))/2</f>
        <v>79.289999999999992</v>
      </c>
      <c r="H54" s="6" t="s">
        <v>13</v>
      </c>
      <c r="I54" s="35">
        <f t="shared" ref="I54:I55" si="29">365*C48*$P$7*($K$4/365)</f>
        <v>4341.1275000000005</v>
      </c>
    </row>
    <row r="55" spans="1:10" x14ac:dyDescent="0.35">
      <c r="A55" s="6" t="s">
        <v>14</v>
      </c>
      <c r="B55" s="4">
        <f t="shared" si="28"/>
        <v>73.811052130788383</v>
      </c>
      <c r="D55" s="6" t="s">
        <v>14</v>
      </c>
      <c r="E55" s="22">
        <f>(($K$5*C49))/2</f>
        <v>19.47</v>
      </c>
      <c r="H55" s="6" t="s">
        <v>14</v>
      </c>
      <c r="I55" s="35">
        <f t="shared" si="29"/>
        <v>1065.9824999999998</v>
      </c>
    </row>
    <row r="56" spans="1:10" x14ac:dyDescent="0.35">
      <c r="D56" s="3"/>
      <c r="E56" s="26"/>
      <c r="F56" s="26"/>
      <c r="G56" s="26"/>
      <c r="H56" s="26"/>
      <c r="I56" s="26"/>
    </row>
    <row r="57" spans="1:10" x14ac:dyDescent="0.35">
      <c r="A57" s="13" t="s">
        <v>76</v>
      </c>
      <c r="B57" s="13" t="s">
        <v>51</v>
      </c>
      <c r="D57" s="3"/>
      <c r="E57" s="45" t="s">
        <v>76</v>
      </c>
      <c r="F57" s="47" t="s">
        <v>47</v>
      </c>
      <c r="G57" s="26"/>
      <c r="H57" s="47" t="s">
        <v>77</v>
      </c>
      <c r="I57" s="26"/>
    </row>
    <row r="58" spans="1:10" x14ac:dyDescent="0.35">
      <c r="A58" s="6" t="s">
        <v>12</v>
      </c>
      <c r="B58" s="36">
        <f>C47*365*$K$12</f>
        <v>9623.8819999999996</v>
      </c>
      <c r="E58" s="6" t="s">
        <v>12</v>
      </c>
      <c r="F58" s="36">
        <f>(SUM(B53,E53)*$K$4) + I53</f>
        <v>37839.018206211986</v>
      </c>
      <c r="H58" s="36">
        <f>SUM(B58,F58)*O1</f>
        <v>474629.00206211983</v>
      </c>
    </row>
    <row r="59" spans="1:10" x14ac:dyDescent="0.35">
      <c r="A59" s="6" t="s">
        <v>13</v>
      </c>
      <c r="B59" s="36">
        <f t="shared" ref="B59:B60" si="30">C48*365*$K$12</f>
        <v>2797.6154999999999</v>
      </c>
      <c r="E59" s="6" t="s">
        <v>13</v>
      </c>
      <c r="F59" s="36">
        <f t="shared" ref="F59:F60" si="31">(SUM(B54,E54)*$K$4) + I54</f>
        <v>16468.870932407131</v>
      </c>
      <c r="H59" s="36">
        <f t="shared" ref="H59" si="32">SUM(B59,F59)*O2</f>
        <v>385329.72864814266</v>
      </c>
    </row>
    <row r="60" spans="1:10" x14ac:dyDescent="0.35">
      <c r="A60" s="6" t="s">
        <v>14</v>
      </c>
      <c r="B60" s="36">
        <f t="shared" si="30"/>
        <v>686.96649999999988</v>
      </c>
      <c r="E60" s="6" t="s">
        <v>14</v>
      </c>
      <c r="F60" s="36">
        <f t="shared" si="31"/>
        <v>6173.1201041606637</v>
      </c>
      <c r="H60" s="36">
        <f>SUM(B60,F60)*O3</f>
        <v>480206.06229124643</v>
      </c>
    </row>
    <row r="61" spans="1:10" x14ac:dyDescent="0.35">
      <c r="G61" s="21" t="s">
        <v>66</v>
      </c>
      <c r="H61" s="54">
        <f>SUM(H58:H60)</f>
        <v>1340164.7930015088</v>
      </c>
    </row>
    <row r="62" spans="1:10" ht="15" customHeight="1" x14ac:dyDescent="0.35">
      <c r="G62" s="21"/>
      <c r="H62" s="53"/>
    </row>
    <row r="63" spans="1:10" x14ac:dyDescent="0.35">
      <c r="G63" s="21"/>
      <c r="H63" s="53"/>
    </row>
    <row r="64" spans="1:10" x14ac:dyDescent="0.35">
      <c r="A64" s="13" t="s">
        <v>78</v>
      </c>
      <c r="B64" s="45" t="s">
        <v>79</v>
      </c>
      <c r="H64" s="34"/>
    </row>
    <row r="65" spans="1:5" x14ac:dyDescent="0.35">
      <c r="A65">
        <f>C47*365*O1</f>
        <v>331858</v>
      </c>
    </row>
    <row r="66" spans="1:5" x14ac:dyDescent="0.35">
      <c r="A66">
        <f t="shared" ref="A66:A67" si="33">C48*365*O2</f>
        <v>192939</v>
      </c>
    </row>
    <row r="67" spans="1:5" x14ac:dyDescent="0.35">
      <c r="A67">
        <f t="shared" si="33"/>
        <v>165819.5</v>
      </c>
    </row>
    <row r="68" spans="1:5" x14ac:dyDescent="0.35">
      <c r="A68" s="48">
        <f>SUM(A65:A67)</f>
        <v>690616.5</v>
      </c>
      <c r="E68" s="40"/>
    </row>
    <row r="69" spans="1:5" x14ac:dyDescent="0.35">
      <c r="A69" s="4">
        <f>A68/1000</f>
        <v>690.61649999999997</v>
      </c>
      <c r="B69" s="49">
        <f xml:space="preserve"> -0.0009*(A69^3) + 0.3998*(A69^2) + 2000.5*(A69) + 396.83</f>
        <v>1276208.9075084007</v>
      </c>
    </row>
    <row r="71" spans="1:5" x14ac:dyDescent="0.35">
      <c r="A71" s="40" t="s">
        <v>80</v>
      </c>
      <c r="D71" s="40"/>
    </row>
    <row r="72" spans="1:5" x14ac:dyDescent="0.35">
      <c r="A72" s="48" t="s">
        <v>81</v>
      </c>
      <c r="B72" s="48" t="s">
        <v>84</v>
      </c>
      <c r="D72" s="48" t="s">
        <v>88</v>
      </c>
      <c r="E72" s="40"/>
    </row>
    <row r="73" spans="1:5" x14ac:dyDescent="0.35">
      <c r="A73" s="4">
        <v>0</v>
      </c>
      <c r="B73" s="55">
        <f>PMT($O$5,3,$B$69)</f>
        <v>-531348.2776220846</v>
      </c>
      <c r="D73" s="52">
        <f>O33-H61</f>
        <v>34530.825000000186</v>
      </c>
      <c r="E73" s="50"/>
    </row>
    <row r="74" spans="1:5" x14ac:dyDescent="0.35">
      <c r="A74" s="4">
        <v>1</v>
      </c>
      <c r="B74" s="55">
        <f t="shared" ref="B74:B75" si="34">PMT($O$5,3,$B$69)</f>
        <v>-531348.2776220846</v>
      </c>
      <c r="E74" s="50"/>
    </row>
    <row r="75" spans="1:5" x14ac:dyDescent="0.35">
      <c r="A75" s="4">
        <v>2</v>
      </c>
      <c r="B75" s="55">
        <f t="shared" si="34"/>
        <v>-531348.2776220846</v>
      </c>
      <c r="D75" t="s">
        <v>89</v>
      </c>
      <c r="E75" s="50"/>
    </row>
    <row r="76" spans="1:5" x14ac:dyDescent="0.35">
      <c r="A76" s="4">
        <v>3</v>
      </c>
      <c r="B76" s="55">
        <f>5*50000</f>
        <v>250000</v>
      </c>
      <c r="D76">
        <f>B77/D73</f>
        <v>-36.240342200223978</v>
      </c>
      <c r="E76" s="50"/>
    </row>
    <row r="77" spans="1:5" x14ac:dyDescent="0.35">
      <c r="A77" s="56" t="s">
        <v>82</v>
      </c>
      <c r="B77" s="55">
        <f>NPV(O5, B74:B76)+B73</f>
        <v>-1251408.914456056</v>
      </c>
      <c r="E77" s="34"/>
    </row>
    <row r="78" spans="1:5" x14ac:dyDescent="0.35">
      <c r="D78" t="s">
        <v>94</v>
      </c>
      <c r="E78" s="50"/>
    </row>
    <row r="79" spans="1:5" x14ac:dyDescent="0.35">
      <c r="E79" s="50"/>
    </row>
    <row r="80" spans="1:5" x14ac:dyDescent="0.35">
      <c r="D80" s="51"/>
      <c r="E80" s="50"/>
    </row>
  </sheetData>
  <pageMargins left="0.7" right="0.7" top="0.75" bottom="0.75" header="0.3" footer="0.3"/>
  <pageSetup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3"/>
  <sheetViews>
    <sheetView zoomScaleNormal="100" workbookViewId="0">
      <selection activeCell="B16" sqref="B16"/>
    </sheetView>
  </sheetViews>
  <sheetFormatPr defaultRowHeight="14.5" x14ac:dyDescent="0.35"/>
  <cols>
    <col min="1" max="1" width="18.54296875" customWidth="1"/>
    <col min="2" max="2" width="13.90625" bestFit="1" customWidth="1"/>
    <col min="3" max="3" width="11.36328125" customWidth="1"/>
    <col min="4" max="4" width="12.6328125" customWidth="1"/>
    <col min="5" max="5" width="16.81640625" customWidth="1"/>
    <col min="6" max="6" width="16.90625" customWidth="1"/>
    <col min="7" max="7" width="13.453125" customWidth="1"/>
    <col min="8" max="8" width="14.90625" bestFit="1" customWidth="1"/>
    <col min="9" max="9" width="11.08984375" bestFit="1" customWidth="1"/>
    <col min="10" max="12" width="12.1796875" bestFit="1" customWidth="1"/>
    <col min="13" max="13" width="15.453125" customWidth="1"/>
    <col min="14" max="14" width="12.1796875" bestFit="1" customWidth="1"/>
    <col min="15" max="15" width="14.90625" bestFit="1" customWidth="1"/>
    <col min="17" max="17" width="12.1796875" bestFit="1" customWidth="1"/>
    <col min="18" max="18" width="14.1796875" customWidth="1"/>
    <col min="19" max="19" width="14.08984375" customWidth="1"/>
    <col min="20" max="20" width="13" customWidth="1"/>
    <col min="21" max="21" width="13.6328125" customWidth="1"/>
    <col min="24" max="28" width="12.1796875" bestFit="1" customWidth="1"/>
    <col min="30" max="30" width="10.1796875" bestFit="1" customWidth="1"/>
  </cols>
  <sheetData>
    <row r="1" spans="1:30" ht="15" thickBot="1" x14ac:dyDescent="0.4">
      <c r="A1" s="1"/>
      <c r="B1" s="8" t="s">
        <v>0</v>
      </c>
      <c r="C1" s="8" t="s">
        <v>1</v>
      </c>
      <c r="D1" s="8" t="s">
        <v>2</v>
      </c>
      <c r="E1" s="8" t="s">
        <v>3</v>
      </c>
      <c r="F1" s="8" t="s">
        <v>4</v>
      </c>
      <c r="I1" s="41" t="s">
        <v>49</v>
      </c>
      <c r="J1" t="s">
        <v>52</v>
      </c>
      <c r="K1" s="34">
        <v>0.09</v>
      </c>
      <c r="L1" s="43" t="s">
        <v>54</v>
      </c>
      <c r="N1" s="21" t="s">
        <v>58</v>
      </c>
      <c r="O1">
        <v>10</v>
      </c>
    </row>
    <row r="2" spans="1:30" ht="15" thickBot="1" x14ac:dyDescent="0.4">
      <c r="A2" s="9" t="s">
        <v>5</v>
      </c>
      <c r="B2" s="2">
        <v>35.479999999999997</v>
      </c>
      <c r="C2" s="2">
        <v>22.61</v>
      </c>
      <c r="D2" s="2">
        <v>17.66</v>
      </c>
      <c r="E2" s="2">
        <v>11.81</v>
      </c>
      <c r="F2" s="2">
        <v>3.36</v>
      </c>
      <c r="I2" s="21" t="s">
        <v>50</v>
      </c>
      <c r="J2" t="s">
        <v>53</v>
      </c>
      <c r="K2" s="34">
        <v>0.1</v>
      </c>
      <c r="L2" s="43" t="s">
        <v>54</v>
      </c>
      <c r="N2" s="21" t="s">
        <v>59</v>
      </c>
      <c r="O2">
        <v>20</v>
      </c>
    </row>
    <row r="3" spans="1:30" ht="15" thickBot="1" x14ac:dyDescent="0.4">
      <c r="A3" s="9" t="s">
        <v>6</v>
      </c>
      <c r="B3" s="2">
        <v>6.98</v>
      </c>
      <c r="C3" s="2">
        <v>6.48</v>
      </c>
      <c r="D3" s="2">
        <v>5.26</v>
      </c>
      <c r="E3" s="2">
        <v>3.48</v>
      </c>
      <c r="F3" s="2">
        <v>4.49</v>
      </c>
      <c r="I3" s="21" t="s">
        <v>51</v>
      </c>
      <c r="K3" s="42">
        <f>SUM(K1:K2)</f>
        <v>0.19</v>
      </c>
      <c r="L3" s="43" t="s">
        <v>54</v>
      </c>
      <c r="N3" s="21" t="s">
        <v>60</v>
      </c>
      <c r="O3">
        <v>70</v>
      </c>
    </row>
    <row r="4" spans="1:30" ht="15" thickBot="1" x14ac:dyDescent="0.4">
      <c r="A4" s="9" t="s">
        <v>15</v>
      </c>
      <c r="B4" s="2">
        <f>B3^2</f>
        <v>48.720400000000005</v>
      </c>
      <c r="C4" s="2">
        <f t="shared" ref="C4:F4" si="0">C3^2</f>
        <v>41.990400000000008</v>
      </c>
      <c r="D4" s="2">
        <f t="shared" si="0"/>
        <v>27.667599999999997</v>
      </c>
      <c r="E4" s="2">
        <f t="shared" si="0"/>
        <v>12.1104</v>
      </c>
      <c r="F4" s="2">
        <f t="shared" si="0"/>
        <v>20.160100000000003</v>
      </c>
      <c r="I4" s="21" t="s">
        <v>36</v>
      </c>
      <c r="J4" t="s">
        <v>37</v>
      </c>
      <c r="K4" s="34">
        <f>0.15*365</f>
        <v>54.75</v>
      </c>
      <c r="L4" t="s">
        <v>38</v>
      </c>
      <c r="N4" s="34"/>
    </row>
    <row r="5" spans="1:30" ht="15" thickBot="1" x14ac:dyDescent="0.4">
      <c r="A5" s="9" t="s">
        <v>7</v>
      </c>
      <c r="B5" s="2">
        <v>2.48</v>
      </c>
      <c r="C5" s="2">
        <v>4.1500000000000004</v>
      </c>
      <c r="D5" s="2">
        <v>6.15</v>
      </c>
      <c r="E5" s="2">
        <v>6.16</v>
      </c>
      <c r="F5" s="2">
        <v>7.49</v>
      </c>
      <c r="I5" s="21" t="s">
        <v>21</v>
      </c>
      <c r="J5" t="s">
        <v>24</v>
      </c>
      <c r="K5">
        <v>6</v>
      </c>
      <c r="L5" t="s">
        <v>22</v>
      </c>
      <c r="N5" t="s">
        <v>91</v>
      </c>
      <c r="O5" s="57">
        <v>0.12</v>
      </c>
    </row>
    <row r="6" spans="1:30" ht="25.5" thickBot="1" x14ac:dyDescent="0.55000000000000004">
      <c r="A6" s="9" t="s">
        <v>8</v>
      </c>
      <c r="B6" s="2">
        <v>3.16</v>
      </c>
      <c r="C6" s="2">
        <v>6.2</v>
      </c>
      <c r="D6" s="2">
        <v>6.39</v>
      </c>
      <c r="E6" s="2">
        <v>6.76</v>
      </c>
      <c r="F6" s="2">
        <v>3.56</v>
      </c>
      <c r="I6" s="21" t="s">
        <v>23</v>
      </c>
      <c r="J6" t="s">
        <v>25</v>
      </c>
      <c r="K6">
        <v>5</v>
      </c>
      <c r="L6" t="s">
        <v>22</v>
      </c>
      <c r="N6" s="23"/>
    </row>
    <row r="7" spans="1:30" ht="15" thickBot="1" x14ac:dyDescent="0.4">
      <c r="A7" s="9" t="s">
        <v>16</v>
      </c>
      <c r="B7" s="2">
        <f>B6^2</f>
        <v>9.9856000000000016</v>
      </c>
      <c r="C7" s="2">
        <f t="shared" ref="C7:F7" si="1">C6^2</f>
        <v>38.440000000000005</v>
      </c>
      <c r="D7" s="2">
        <f t="shared" si="1"/>
        <v>40.832099999999997</v>
      </c>
      <c r="E7" s="2">
        <f t="shared" si="1"/>
        <v>45.697599999999994</v>
      </c>
      <c r="F7" s="2">
        <f t="shared" si="1"/>
        <v>12.6736</v>
      </c>
      <c r="I7" s="21" t="s">
        <v>72</v>
      </c>
      <c r="K7" s="24">
        <v>4</v>
      </c>
      <c r="L7" t="s">
        <v>22</v>
      </c>
      <c r="M7" s="25" t="s">
        <v>29</v>
      </c>
      <c r="O7" s="21" t="s">
        <v>73</v>
      </c>
      <c r="P7" s="24">
        <v>3</v>
      </c>
      <c r="Q7" t="s">
        <v>22</v>
      </c>
    </row>
    <row r="8" spans="1:30" ht="15" thickBot="1" x14ac:dyDescent="0.4">
      <c r="A8" s="9" t="s">
        <v>9</v>
      </c>
      <c r="B8" s="2">
        <v>0.48</v>
      </c>
      <c r="C8" s="2">
        <v>0.73</v>
      </c>
      <c r="D8" s="2">
        <v>0.8</v>
      </c>
      <c r="E8" s="2">
        <v>1.94</v>
      </c>
      <c r="F8" s="2">
        <v>2.54</v>
      </c>
      <c r="H8" s="11" t="s">
        <v>18</v>
      </c>
    </row>
    <row r="9" spans="1:30" ht="15" thickBot="1" x14ac:dyDescent="0.4">
      <c r="A9" s="9" t="s">
        <v>10</v>
      </c>
      <c r="B9" s="2">
        <v>1.98</v>
      </c>
      <c r="C9" s="2">
        <v>1.42</v>
      </c>
      <c r="D9" s="2">
        <v>2.39</v>
      </c>
      <c r="E9" s="2">
        <v>3.76</v>
      </c>
      <c r="F9" s="2">
        <v>3.98</v>
      </c>
      <c r="H9" s="12">
        <v>0.5</v>
      </c>
    </row>
    <row r="10" spans="1:30" x14ac:dyDescent="0.35">
      <c r="A10" s="10" t="s">
        <v>17</v>
      </c>
      <c r="B10" s="2">
        <f>B9^2</f>
        <v>3.9203999999999999</v>
      </c>
      <c r="C10" s="2">
        <f t="shared" ref="C10:F10" si="2">C9^2</f>
        <v>2.0164</v>
      </c>
      <c r="D10" s="2">
        <f t="shared" si="2"/>
        <v>5.7121000000000004</v>
      </c>
      <c r="E10" s="2">
        <f t="shared" si="2"/>
        <v>14.137599999999999</v>
      </c>
      <c r="F10" s="2">
        <f t="shared" si="2"/>
        <v>15.840400000000001</v>
      </c>
      <c r="H10" s="7"/>
      <c r="I10" s="21" t="s">
        <v>68</v>
      </c>
      <c r="K10" s="34">
        <f>0.05</f>
        <v>0.05</v>
      </c>
      <c r="L10" t="s">
        <v>54</v>
      </c>
    </row>
    <row r="11" spans="1:30" x14ac:dyDescent="0.35">
      <c r="I11" s="21" t="s">
        <v>69</v>
      </c>
      <c r="K11" s="34">
        <v>0.24</v>
      </c>
      <c r="L11" t="s">
        <v>54</v>
      </c>
    </row>
    <row r="12" spans="1:30" s="17" customFormat="1" x14ac:dyDescent="0.35">
      <c r="A12" s="3"/>
      <c r="I12" s="21" t="s">
        <v>67</v>
      </c>
      <c r="K12" s="46">
        <f>SUM(K10:K11)</f>
        <v>0.28999999999999998</v>
      </c>
      <c r="L12" t="s">
        <v>54</v>
      </c>
    </row>
    <row r="13" spans="1:30" s="31" customFormat="1" x14ac:dyDescent="0.35">
      <c r="A13" s="30" t="s">
        <v>33</v>
      </c>
    </row>
    <row r="14" spans="1:30" s="17" customFormat="1" ht="19" x14ac:dyDescent="0.45">
      <c r="A14" s="3" t="s">
        <v>19</v>
      </c>
      <c r="D14" s="17" t="s">
        <v>26</v>
      </c>
      <c r="I14" s="18" t="s">
        <v>30</v>
      </c>
      <c r="M14" s="17" t="s">
        <v>71</v>
      </c>
      <c r="P14" s="18"/>
      <c r="W14" s="26"/>
      <c r="X14" s="26"/>
      <c r="Y14" s="26"/>
      <c r="Z14" s="26"/>
      <c r="AA14" s="26"/>
      <c r="AB14" s="26"/>
      <c r="AD14" s="24" t="s">
        <v>31</v>
      </c>
    </row>
    <row r="15" spans="1:30" s="17" customFormat="1" ht="29" x14ac:dyDescent="0.35">
      <c r="A15" s="3"/>
      <c r="B15" s="8" t="s">
        <v>0</v>
      </c>
      <c r="C15" s="8" t="s">
        <v>1</v>
      </c>
      <c r="D15" s="8" t="s">
        <v>2</v>
      </c>
      <c r="E15" s="8" t="s">
        <v>3</v>
      </c>
      <c r="F15" s="8" t="s">
        <v>4</v>
      </c>
      <c r="G15" s="19" t="s">
        <v>20</v>
      </c>
      <c r="J15" s="8" t="s">
        <v>0</v>
      </c>
      <c r="K15" s="8" t="s">
        <v>1</v>
      </c>
      <c r="L15" s="8" t="s">
        <v>2</v>
      </c>
      <c r="M15" s="8" t="s">
        <v>3</v>
      </c>
      <c r="N15" s="8" t="s">
        <v>4</v>
      </c>
      <c r="P15" s="26"/>
      <c r="Q15" s="39"/>
      <c r="R15" s="39"/>
      <c r="S15" s="39"/>
      <c r="T15" s="39"/>
      <c r="U15" s="39"/>
      <c r="W15" s="26"/>
      <c r="X15" s="39"/>
      <c r="Y15" s="39"/>
      <c r="Z15" s="39"/>
      <c r="AA15" s="39"/>
      <c r="AB15" s="39"/>
      <c r="AD15" s="24"/>
    </row>
    <row r="16" spans="1:30" s="17" customFormat="1" x14ac:dyDescent="0.35">
      <c r="A16" s="6" t="s">
        <v>12</v>
      </c>
      <c r="B16" s="4">
        <f>_xlfn.NORM.S.INV(0.95)*SQRT(SUM($K$5:$K$6))*B3</f>
        <v>38.07842896325964</v>
      </c>
      <c r="C16" s="4">
        <f>_xlfn.NORM.S.INV(0.95)*SQRT(SUM($K$5:$K$6))*C3</f>
        <v>35.350747805433016</v>
      </c>
      <c r="D16" s="4">
        <f>_xlfn.NORM.S.INV(0.95)*SQRT(SUM($K$5:$K$6))*D3</f>
        <v>28.695205780336057</v>
      </c>
      <c r="E16" s="4">
        <f>_xlfn.NORM.S.INV(0.95)*SQRT(SUM($K$5:$K$6))*E3</f>
        <v>18.984660858473287</v>
      </c>
      <c r="F16" s="4">
        <f>_xlfn.NORM.S.INV(0.95)*SQRT(SUM($K$5:$K$6))*F3</f>
        <v>24.494576797283063</v>
      </c>
      <c r="G16" s="20">
        <f>SUM(B16:F16)</f>
        <v>145.60362020478507</v>
      </c>
      <c r="I16" s="6" t="s">
        <v>12</v>
      </c>
      <c r="J16" s="22">
        <f>((B2*$K$5))/2</f>
        <v>106.44</v>
      </c>
      <c r="K16" s="22">
        <f t="shared" ref="K16:N16" si="3">((C2*$K$5))/2</f>
        <v>67.83</v>
      </c>
      <c r="L16" s="22">
        <f t="shared" si="3"/>
        <v>52.980000000000004</v>
      </c>
      <c r="M16" s="22">
        <f t="shared" si="3"/>
        <v>35.43</v>
      </c>
      <c r="N16" s="22">
        <f t="shared" si="3"/>
        <v>10.08</v>
      </c>
      <c r="P16" s="3"/>
      <c r="Q16" s="58"/>
      <c r="R16" s="26"/>
      <c r="S16" s="26"/>
      <c r="T16" s="26"/>
      <c r="U16" s="26"/>
      <c r="W16" s="3"/>
      <c r="X16" s="26"/>
      <c r="Y16" s="26"/>
      <c r="Z16" s="26"/>
      <c r="AA16" s="26"/>
      <c r="AB16" s="26"/>
      <c r="AD16" s="27">
        <f>X16*0.15</f>
        <v>0</v>
      </c>
    </row>
    <row r="17" spans="1:28" s="17" customFormat="1" x14ac:dyDescent="0.35">
      <c r="A17" s="6" t="s">
        <v>13</v>
      </c>
      <c r="B17" s="4">
        <f>_xlfn.NORM.S.INV(0.95)*SQRT(SUM($K$5:$K$6))*B6</f>
        <v>17.238944917464249</v>
      </c>
      <c r="C17" s="4">
        <f>_xlfn.NORM.S.INV(0.95)*SQRT(SUM($K$5:$K$6))*C6</f>
        <v>33.82324635705011</v>
      </c>
      <c r="D17" s="4">
        <f>_xlfn.NORM.S.INV(0.95)*SQRT(SUM($K$5:$K$6))*D6</f>
        <v>34.859765197024224</v>
      </c>
      <c r="E17" s="4">
        <f>_xlfn.NORM.S.INV(0.95)*SQRT(SUM($K$5:$K$6))*E6</f>
        <v>36.878249253815923</v>
      </c>
      <c r="F17" s="4">
        <f>_xlfn.NORM.S.INV(0.95)*SQRT(SUM($K$5:$K$6))*F6</f>
        <v>19.421089843725547</v>
      </c>
      <c r="G17" s="20">
        <f t="shared" ref="G17:G18" si="4">SUM(B17:F17)</f>
        <v>142.22129556908004</v>
      </c>
      <c r="I17" s="6" t="s">
        <v>13</v>
      </c>
      <c r="J17" s="22">
        <f>(($K$5*B5))/2</f>
        <v>7.4399999999999995</v>
      </c>
      <c r="K17" s="22">
        <f t="shared" ref="K17:N17" si="5">(($K$5*C5))/2</f>
        <v>12.450000000000001</v>
      </c>
      <c r="L17" s="22">
        <f t="shared" si="5"/>
        <v>18.450000000000003</v>
      </c>
      <c r="M17" s="22">
        <f t="shared" si="5"/>
        <v>18.48</v>
      </c>
      <c r="N17" s="22">
        <f t="shared" si="5"/>
        <v>22.47</v>
      </c>
      <c r="P17" s="3"/>
      <c r="Q17" s="26"/>
      <c r="R17" s="26"/>
      <c r="S17" s="26"/>
      <c r="T17" s="26"/>
      <c r="U17" s="26"/>
      <c r="W17" s="3"/>
      <c r="X17" s="26"/>
      <c r="Y17" s="26"/>
      <c r="Z17" s="26"/>
      <c r="AA17" s="26"/>
      <c r="AB17" s="26"/>
    </row>
    <row r="18" spans="1:28" s="17" customFormat="1" x14ac:dyDescent="0.35">
      <c r="A18" s="6" t="s">
        <v>14</v>
      </c>
      <c r="B18" s="4">
        <f>_xlfn.NORM.S.INV(0.95)*SQRT(SUM($K$5:$K$6))*B9</f>
        <v>10.801617384993421</v>
      </c>
      <c r="C18" s="4">
        <f t="shared" ref="C18:F18" si="6">_xlfn.NORM.S.INV(0.95)*SQRT(SUM($K$5:$K$6))*C9</f>
        <v>7.7466144882276051</v>
      </c>
      <c r="D18" s="4">
        <f t="shared" si="6"/>
        <v>13.038315934411251</v>
      </c>
      <c r="E18" s="4">
        <f t="shared" si="6"/>
        <v>20.512162306856194</v>
      </c>
      <c r="F18" s="4">
        <f t="shared" si="6"/>
        <v>21.712342016299907</v>
      </c>
      <c r="G18" s="20">
        <f t="shared" si="4"/>
        <v>73.811052130788369</v>
      </c>
      <c r="I18" s="6" t="s">
        <v>14</v>
      </c>
      <c r="J18" s="22">
        <f>(($K$5*B8))/2</f>
        <v>1.44</v>
      </c>
      <c r="K18" s="22">
        <f t="shared" ref="K18:N18" si="7">(($K$5*C8))/2</f>
        <v>2.19</v>
      </c>
      <c r="L18" s="22">
        <f t="shared" si="7"/>
        <v>2.4000000000000004</v>
      </c>
      <c r="M18" s="22">
        <f t="shared" si="7"/>
        <v>5.82</v>
      </c>
      <c r="N18" s="22">
        <f t="shared" si="7"/>
        <v>7.62</v>
      </c>
      <c r="P18" s="3"/>
      <c r="Q18" s="26"/>
      <c r="R18" s="26"/>
      <c r="S18" s="26"/>
      <c r="T18" s="26"/>
      <c r="U18" s="26"/>
      <c r="W18" s="3"/>
      <c r="X18" s="26"/>
      <c r="Y18" s="26"/>
      <c r="Z18" s="26"/>
      <c r="AA18" s="26"/>
      <c r="AB18" s="26"/>
    </row>
    <row r="19" spans="1:28" s="17" customFormat="1" x14ac:dyDescent="0.35">
      <c r="A19" s="3"/>
      <c r="B19" s="28"/>
      <c r="C19" s="28"/>
      <c r="D19" s="28"/>
      <c r="E19" s="28"/>
      <c r="F19" s="28"/>
      <c r="G19" s="29"/>
      <c r="I19" s="3"/>
      <c r="J19" s="26"/>
      <c r="K19" s="26"/>
      <c r="L19" s="26"/>
      <c r="M19" s="26"/>
      <c r="N19" s="26"/>
      <c r="P19" s="3"/>
      <c r="Q19" s="26"/>
      <c r="R19" s="26"/>
      <c r="S19" s="26"/>
      <c r="T19" s="26"/>
      <c r="U19" s="26"/>
      <c r="W19" s="3"/>
      <c r="X19" s="26"/>
      <c r="Y19" s="26"/>
      <c r="Z19" s="26"/>
      <c r="AA19" s="26"/>
      <c r="AB19" s="26"/>
    </row>
    <row r="20" spans="1:28" s="17" customFormat="1" x14ac:dyDescent="0.35">
      <c r="A20" s="3"/>
      <c r="B20" s="28"/>
      <c r="C20" s="28"/>
      <c r="D20" s="28"/>
      <c r="E20" s="28"/>
      <c r="F20" s="28"/>
      <c r="G20" s="29"/>
      <c r="I20" s="3"/>
      <c r="J20" s="26"/>
      <c r="K20" s="26"/>
      <c r="L20" s="26"/>
      <c r="M20" s="26"/>
      <c r="N20" s="26"/>
      <c r="P20" s="3"/>
      <c r="Q20" s="26"/>
      <c r="R20" s="26"/>
      <c r="S20" s="26"/>
      <c r="T20" s="26"/>
      <c r="U20" s="26"/>
      <c r="W20" s="3"/>
      <c r="X20" s="26"/>
      <c r="Y20" s="26"/>
      <c r="Z20" s="26"/>
      <c r="AA20" s="26"/>
      <c r="AB20" s="26"/>
    </row>
    <row r="21" spans="1:28" s="17" customFormat="1" x14ac:dyDescent="0.35">
      <c r="A21" s="3" t="s">
        <v>46</v>
      </c>
      <c r="D21" s="17" t="s">
        <v>62</v>
      </c>
      <c r="I21" s="18" t="s">
        <v>43</v>
      </c>
      <c r="M21" s="17" t="s">
        <v>45</v>
      </c>
      <c r="P21" s="18" t="s">
        <v>44</v>
      </c>
      <c r="W21" s="3" t="s">
        <v>47</v>
      </c>
      <c r="X21" s="26"/>
      <c r="Y21" s="26"/>
      <c r="Z21" s="26"/>
      <c r="AA21" s="26"/>
      <c r="AB21" s="26"/>
    </row>
    <row r="22" spans="1:28" s="17" customFormat="1" x14ac:dyDescent="0.35">
      <c r="A22" s="3"/>
      <c r="B22" s="8" t="s">
        <v>0</v>
      </c>
      <c r="C22" s="8" t="s">
        <v>1</v>
      </c>
      <c r="D22" s="8" t="s">
        <v>2</v>
      </c>
      <c r="E22" s="8" t="s">
        <v>3</v>
      </c>
      <c r="F22" s="8" t="s">
        <v>4</v>
      </c>
      <c r="G22" s="38"/>
      <c r="J22" s="8" t="s">
        <v>0</v>
      </c>
      <c r="K22" s="8" t="s">
        <v>1</v>
      </c>
      <c r="L22" s="8" t="s">
        <v>2</v>
      </c>
      <c r="M22" s="8" t="s">
        <v>3</v>
      </c>
      <c r="N22" s="8" t="s">
        <v>4</v>
      </c>
      <c r="Q22" s="8" t="s">
        <v>0</v>
      </c>
      <c r="R22" s="8" t="s">
        <v>1</v>
      </c>
      <c r="S22" s="8" t="s">
        <v>2</v>
      </c>
      <c r="T22" s="8" t="s">
        <v>3</v>
      </c>
      <c r="U22" s="8" t="s">
        <v>4</v>
      </c>
      <c r="X22" s="8" t="s">
        <v>0</v>
      </c>
      <c r="Y22" s="8" t="s">
        <v>1</v>
      </c>
      <c r="Z22" s="8" t="s">
        <v>2</v>
      </c>
      <c r="AA22" s="8" t="s">
        <v>3</v>
      </c>
      <c r="AB22" s="8" t="s">
        <v>4</v>
      </c>
    </row>
    <row r="23" spans="1:28" s="17" customFormat="1" x14ac:dyDescent="0.35">
      <c r="A23" s="6" t="s">
        <v>12</v>
      </c>
      <c r="B23" s="36">
        <f>B16*$K$4</f>
        <v>2084.7939857384654</v>
      </c>
      <c r="C23" s="36">
        <f t="shared" ref="C23:F23" si="8">C16*$K$4</f>
        <v>1935.4534423474577</v>
      </c>
      <c r="D23" s="36">
        <f t="shared" si="8"/>
        <v>1571.062516473399</v>
      </c>
      <c r="E23" s="36">
        <f t="shared" si="8"/>
        <v>1039.4101820014125</v>
      </c>
      <c r="F23" s="36">
        <f t="shared" si="8"/>
        <v>1341.0780796512477</v>
      </c>
      <c r="G23" s="37"/>
      <c r="I23" s="6" t="s">
        <v>12</v>
      </c>
      <c r="J23" s="35">
        <f>J16*$K$4</f>
        <v>5827.59</v>
      </c>
      <c r="K23" s="35">
        <f t="shared" ref="K23:N23" si="9">K16*$K$4</f>
        <v>3713.6925000000001</v>
      </c>
      <c r="L23" s="35">
        <f t="shared" si="9"/>
        <v>2900.6550000000002</v>
      </c>
      <c r="M23" s="35">
        <f t="shared" si="9"/>
        <v>1939.7925</v>
      </c>
      <c r="N23" s="35">
        <f t="shared" si="9"/>
        <v>551.88</v>
      </c>
      <c r="P23" s="6" t="s">
        <v>12</v>
      </c>
      <c r="Q23" s="35">
        <f>365*B2*$K$7*($K$4/365)</f>
        <v>7770.119999999999</v>
      </c>
      <c r="R23" s="35">
        <f t="shared" ref="R23:U23" si="10">365*C2*$K$7*($K$4/365)</f>
        <v>4951.5899999999992</v>
      </c>
      <c r="S23" s="35">
        <f t="shared" si="10"/>
        <v>3867.5399999999995</v>
      </c>
      <c r="T23" s="35">
        <f t="shared" si="10"/>
        <v>2586.3900000000003</v>
      </c>
      <c r="U23" s="35">
        <f t="shared" si="10"/>
        <v>735.83999999999992</v>
      </c>
      <c r="W23" s="6" t="s">
        <v>12</v>
      </c>
      <c r="X23" s="35">
        <f>Q23+J23+B23</f>
        <v>15682.503985738465</v>
      </c>
      <c r="Y23" s="35">
        <f t="shared" ref="Y23:AB25" si="11">R23+K23+C23</f>
        <v>10600.735942347457</v>
      </c>
      <c r="Z23" s="35">
        <f t="shared" si="11"/>
        <v>8339.2575164733989</v>
      </c>
      <c r="AA23" s="35">
        <f t="shared" si="11"/>
        <v>5565.5926820014138</v>
      </c>
      <c r="AB23" s="35">
        <f t="shared" si="11"/>
        <v>2628.7980796512475</v>
      </c>
    </row>
    <row r="24" spans="1:28" s="17" customFormat="1" x14ac:dyDescent="0.35">
      <c r="A24" s="6" t="s">
        <v>13</v>
      </c>
      <c r="B24" s="36">
        <f t="shared" ref="B24:F25" si="12">B17*$K$4</f>
        <v>943.8322342311676</v>
      </c>
      <c r="C24" s="36">
        <f t="shared" si="12"/>
        <v>1851.8227380484934</v>
      </c>
      <c r="D24" s="36">
        <f t="shared" si="12"/>
        <v>1908.5721445370762</v>
      </c>
      <c r="E24" s="36">
        <f t="shared" si="12"/>
        <v>2019.0841466464217</v>
      </c>
      <c r="F24" s="36">
        <f t="shared" si="12"/>
        <v>1063.3046689439736</v>
      </c>
      <c r="G24" s="37"/>
      <c r="I24" s="6" t="s">
        <v>13</v>
      </c>
      <c r="J24" s="35">
        <f t="shared" ref="J24:N25" si="13">J17*$K$4</f>
        <v>407.34</v>
      </c>
      <c r="K24" s="35">
        <f t="shared" si="13"/>
        <v>681.63750000000005</v>
      </c>
      <c r="L24" s="35">
        <f t="shared" si="13"/>
        <v>1010.1375000000002</v>
      </c>
      <c r="M24" s="35">
        <f t="shared" si="13"/>
        <v>1011.78</v>
      </c>
      <c r="N24" s="35">
        <f t="shared" si="13"/>
        <v>1230.2324999999998</v>
      </c>
      <c r="P24" s="6" t="s">
        <v>13</v>
      </c>
      <c r="Q24" s="35">
        <f>365*B5*$K$7*($K$4/365)</f>
        <v>543.12</v>
      </c>
      <c r="R24" s="35">
        <f t="shared" ref="R24:U24" si="14">365*C5*$K$7*($K$4/365)</f>
        <v>908.85000000000014</v>
      </c>
      <c r="S24" s="35">
        <f t="shared" si="14"/>
        <v>1346.85</v>
      </c>
      <c r="T24" s="35">
        <f t="shared" si="14"/>
        <v>1349.04</v>
      </c>
      <c r="U24" s="35">
        <f t="shared" si="14"/>
        <v>1640.31</v>
      </c>
      <c r="W24" s="6" t="s">
        <v>13</v>
      </c>
      <c r="X24" s="35">
        <f t="shared" ref="X24:X25" si="15">Q24+J24+B24</f>
        <v>1894.2922342311676</v>
      </c>
      <c r="Y24" s="35">
        <f t="shared" si="11"/>
        <v>3442.3102380484934</v>
      </c>
      <c r="Z24" s="35">
        <f t="shared" si="11"/>
        <v>4265.5596445370766</v>
      </c>
      <c r="AA24" s="35">
        <f t="shared" si="11"/>
        <v>4379.9041466464214</v>
      </c>
      <c r="AB24" s="35">
        <f t="shared" si="11"/>
        <v>3933.847168943973</v>
      </c>
    </row>
    <row r="25" spans="1:28" s="17" customFormat="1" x14ac:dyDescent="0.35">
      <c r="A25" s="6" t="s">
        <v>14</v>
      </c>
      <c r="B25" s="36">
        <f t="shared" si="12"/>
        <v>591.38855182838972</v>
      </c>
      <c r="C25" s="36">
        <f t="shared" si="12"/>
        <v>424.1271432304614</v>
      </c>
      <c r="D25" s="36">
        <f t="shared" si="12"/>
        <v>713.84779740901604</v>
      </c>
      <c r="E25" s="36">
        <f t="shared" si="12"/>
        <v>1123.0408863003765</v>
      </c>
      <c r="F25" s="36">
        <f t="shared" si="12"/>
        <v>1188.75072539242</v>
      </c>
      <c r="G25" s="37"/>
      <c r="I25" s="6" t="s">
        <v>14</v>
      </c>
      <c r="J25" s="35">
        <f t="shared" si="13"/>
        <v>78.84</v>
      </c>
      <c r="K25" s="35">
        <f t="shared" si="13"/>
        <v>119.9025</v>
      </c>
      <c r="L25" s="35">
        <f t="shared" si="13"/>
        <v>131.4</v>
      </c>
      <c r="M25" s="35">
        <f t="shared" si="13"/>
        <v>318.64500000000004</v>
      </c>
      <c r="N25" s="35">
        <f t="shared" si="13"/>
        <v>417.19499999999999</v>
      </c>
      <c r="P25" s="6" t="s">
        <v>14</v>
      </c>
      <c r="Q25" s="35">
        <f>365*B8*$K$7*($K$4/365)</f>
        <v>105.11999999999999</v>
      </c>
      <c r="R25" s="35">
        <f t="shared" ref="R25:U25" si="16">365*C8*$K$7*($K$4/365)</f>
        <v>159.86999999999998</v>
      </c>
      <c r="S25" s="35">
        <f t="shared" si="16"/>
        <v>175.2</v>
      </c>
      <c r="T25" s="35">
        <f t="shared" si="16"/>
        <v>424.86</v>
      </c>
      <c r="U25" s="35">
        <f t="shared" si="16"/>
        <v>556.26</v>
      </c>
      <c r="W25" s="6" t="s">
        <v>14</v>
      </c>
      <c r="X25" s="35">
        <f t="shared" si="15"/>
        <v>775.34855182838965</v>
      </c>
      <c r="Y25" s="35">
        <f t="shared" si="11"/>
        <v>703.89964323046138</v>
      </c>
      <c r="Z25" s="35">
        <f t="shared" si="11"/>
        <v>1020.4477974090161</v>
      </c>
      <c r="AA25" s="35">
        <f t="shared" si="11"/>
        <v>1866.5458863003767</v>
      </c>
      <c r="AB25" s="35">
        <f t="shared" si="11"/>
        <v>2162.2057253924199</v>
      </c>
    </row>
    <row r="26" spans="1:28" s="17" customFormat="1" x14ac:dyDescent="0.35">
      <c r="A26" s="3"/>
      <c r="B26" s="28"/>
      <c r="C26" s="28"/>
      <c r="D26" s="28"/>
      <c r="E26" s="28"/>
      <c r="F26" s="28"/>
      <c r="G26" s="29"/>
      <c r="I26" s="3"/>
      <c r="J26" s="26"/>
      <c r="K26" s="26"/>
      <c r="L26" s="26"/>
      <c r="M26" s="26"/>
      <c r="N26" s="26"/>
      <c r="P26" s="3"/>
      <c r="Q26" s="26"/>
      <c r="R26" s="26"/>
      <c r="S26" s="26"/>
      <c r="T26" s="26"/>
      <c r="U26" s="26"/>
      <c r="W26" s="3"/>
      <c r="X26" s="26"/>
      <c r="Y26" s="26"/>
      <c r="Z26" s="26"/>
      <c r="AA26" s="26"/>
      <c r="AB26" s="26"/>
    </row>
    <row r="27" spans="1:28" s="31" customFormat="1" x14ac:dyDescent="0.35">
      <c r="A27" s="30" t="s">
        <v>34</v>
      </c>
    </row>
    <row r="28" spans="1:28" s="17" customFormat="1" x14ac:dyDescent="0.35">
      <c r="A28" s="3" t="s">
        <v>35</v>
      </c>
      <c r="B28" s="28"/>
      <c r="C28" s="28"/>
      <c r="D28" s="28"/>
      <c r="E28" s="28" t="s">
        <v>55</v>
      </c>
      <c r="G28" s="29"/>
      <c r="I28" s="3" t="s">
        <v>56</v>
      </c>
      <c r="J28" s="26"/>
      <c r="K28" s="26"/>
      <c r="L28" s="26"/>
      <c r="M28" s="26"/>
      <c r="N28" s="26"/>
      <c r="P28" s="3"/>
      <c r="Q28" s="26"/>
      <c r="R28" s="26"/>
      <c r="S28" s="26"/>
      <c r="T28" s="26"/>
      <c r="U28" s="26"/>
      <c r="W28" s="3"/>
      <c r="X28" s="26"/>
      <c r="Y28" s="26"/>
      <c r="Z28" s="26"/>
      <c r="AA28" s="26"/>
      <c r="AB28" s="26"/>
    </row>
    <row r="29" spans="1:28" s="17" customFormat="1" x14ac:dyDescent="0.35">
      <c r="A29" s="3"/>
      <c r="B29" s="8" t="s">
        <v>0</v>
      </c>
      <c r="C29" s="8" t="s">
        <v>1</v>
      </c>
      <c r="D29" s="8" t="s">
        <v>2</v>
      </c>
      <c r="E29" s="8" t="s">
        <v>3</v>
      </c>
      <c r="F29" s="8" t="s">
        <v>4</v>
      </c>
      <c r="G29" s="29"/>
      <c r="I29" s="3"/>
      <c r="J29" s="8" t="s">
        <v>0</v>
      </c>
      <c r="K29" s="8" t="s">
        <v>1</v>
      </c>
      <c r="L29" s="8" t="s">
        <v>2</v>
      </c>
      <c r="M29" s="8" t="s">
        <v>3</v>
      </c>
      <c r="N29" s="8" t="s">
        <v>4</v>
      </c>
      <c r="O29" s="15" t="s">
        <v>57</v>
      </c>
      <c r="P29" s="3"/>
      <c r="Q29" s="26"/>
      <c r="R29" s="26"/>
      <c r="S29" s="26"/>
      <c r="T29" s="26"/>
      <c r="U29" s="26"/>
      <c r="W29" s="3"/>
      <c r="X29" s="26"/>
      <c r="Y29" s="26"/>
      <c r="Z29" s="26"/>
      <c r="AA29" s="26"/>
      <c r="AB29" s="26"/>
    </row>
    <row r="30" spans="1:28" s="17" customFormat="1" x14ac:dyDescent="0.35">
      <c r="A30" s="6" t="s">
        <v>12</v>
      </c>
      <c r="B30" s="36">
        <f>B2*365*$K$3</f>
        <v>2460.538</v>
      </c>
      <c r="C30" s="36">
        <f t="shared" ref="C30:F30" si="17">C2*365*$K$3</f>
        <v>1568.0035</v>
      </c>
      <c r="D30" s="36">
        <f t="shared" si="17"/>
        <v>1224.721</v>
      </c>
      <c r="E30" s="36">
        <f t="shared" si="17"/>
        <v>819.02350000000013</v>
      </c>
      <c r="F30" s="36">
        <f t="shared" si="17"/>
        <v>233.01599999999996</v>
      </c>
      <c r="G30" s="29"/>
      <c r="I30" s="6" t="s">
        <v>12</v>
      </c>
      <c r="J30" s="36">
        <f>X23+B30</f>
        <v>18143.041985738466</v>
      </c>
      <c r="K30" s="36">
        <f t="shared" ref="K30:N32" si="18">Y23+C30</f>
        <v>12168.739442347458</v>
      </c>
      <c r="L30" s="36">
        <f t="shared" si="18"/>
        <v>9563.9785164733985</v>
      </c>
      <c r="M30" s="36">
        <f t="shared" si="18"/>
        <v>6384.616182001414</v>
      </c>
      <c r="N30" s="36">
        <f t="shared" si="18"/>
        <v>2861.8140796512475</v>
      </c>
      <c r="O30" s="35">
        <f>SUM(J30:N30)*O1</f>
        <v>491221.90206211986</v>
      </c>
      <c r="P30" s="3"/>
      <c r="Q30" s="26"/>
      <c r="R30" s="26"/>
      <c r="S30" s="26"/>
      <c r="T30" s="26"/>
      <c r="U30" s="26"/>
      <c r="W30" s="3"/>
      <c r="X30" s="26"/>
      <c r="Y30" s="26"/>
      <c r="Z30" s="26"/>
      <c r="AA30" s="26"/>
      <c r="AB30" s="26"/>
    </row>
    <row r="31" spans="1:28" s="17" customFormat="1" x14ac:dyDescent="0.35">
      <c r="A31" s="6" t="s">
        <v>13</v>
      </c>
      <c r="B31" s="36">
        <f>B5*365*$K$3</f>
        <v>171.988</v>
      </c>
      <c r="C31" s="36">
        <f t="shared" ref="C31:F31" si="19">C5*365*$K$3</f>
        <v>287.80250000000007</v>
      </c>
      <c r="D31" s="36">
        <f t="shared" si="19"/>
        <v>426.5025</v>
      </c>
      <c r="E31" s="36">
        <f t="shared" si="19"/>
        <v>427.19600000000003</v>
      </c>
      <c r="F31" s="36">
        <f t="shared" si="19"/>
        <v>519.43150000000003</v>
      </c>
      <c r="G31" s="29"/>
      <c r="I31" s="6" t="s">
        <v>13</v>
      </c>
      <c r="J31" s="36">
        <f t="shared" ref="J31" si="20">X24+B31</f>
        <v>2066.2802342311675</v>
      </c>
      <c r="K31" s="36">
        <f t="shared" si="18"/>
        <v>3730.1127380484936</v>
      </c>
      <c r="L31" s="36">
        <f t="shared" si="18"/>
        <v>4692.0621445370762</v>
      </c>
      <c r="M31" s="36">
        <f t="shared" si="18"/>
        <v>4807.1001466464213</v>
      </c>
      <c r="N31" s="36">
        <f t="shared" si="18"/>
        <v>4453.2786689439727</v>
      </c>
      <c r="O31" s="35">
        <f t="shared" ref="O31:O32" si="21">SUM(J31:N31)*O2</f>
        <v>394976.67864814273</v>
      </c>
      <c r="P31" s="3"/>
      <c r="Q31" s="26"/>
      <c r="R31" s="26"/>
      <c r="S31" s="26"/>
      <c r="T31" s="26"/>
      <c r="U31" s="26"/>
      <c r="W31" s="3"/>
      <c r="X31" s="26"/>
      <c r="Y31" s="26"/>
      <c r="Z31" s="26"/>
      <c r="AA31" s="26"/>
      <c r="AB31" s="26"/>
    </row>
    <row r="32" spans="1:28" s="17" customFormat="1" x14ac:dyDescent="0.35">
      <c r="A32" s="6" t="s">
        <v>14</v>
      </c>
      <c r="B32" s="36">
        <f>B8*365*$K$3</f>
        <v>33.287999999999997</v>
      </c>
      <c r="C32" s="36">
        <f t="shared" ref="C32:E32" si="22">C8*365*$K$3</f>
        <v>50.625499999999995</v>
      </c>
      <c r="D32" s="36">
        <f t="shared" si="22"/>
        <v>55.480000000000004</v>
      </c>
      <c r="E32" s="36">
        <f t="shared" si="22"/>
        <v>134.53900000000002</v>
      </c>
      <c r="F32" s="36">
        <f>F8*365*$K$3</f>
        <v>176.149</v>
      </c>
      <c r="G32" s="29"/>
      <c r="I32" s="6" t="s">
        <v>14</v>
      </c>
      <c r="J32" s="36">
        <f>X25+B32</f>
        <v>808.63655182838966</v>
      </c>
      <c r="K32" s="36">
        <f t="shared" si="18"/>
        <v>754.52514323046137</v>
      </c>
      <c r="L32" s="36">
        <f t="shared" si="18"/>
        <v>1075.927797409016</v>
      </c>
      <c r="M32" s="36">
        <f t="shared" si="18"/>
        <v>2001.0848863003766</v>
      </c>
      <c r="N32" s="36">
        <f t="shared" si="18"/>
        <v>2338.3547253924198</v>
      </c>
      <c r="O32" s="35">
        <f t="shared" si="21"/>
        <v>488497.03729124641</v>
      </c>
      <c r="P32" s="3"/>
      <c r="Q32" s="26"/>
      <c r="R32" s="26"/>
      <c r="S32" s="26"/>
      <c r="T32" s="26"/>
      <c r="U32" s="26"/>
      <c r="W32" s="3"/>
      <c r="X32" s="26"/>
      <c r="Y32" s="26"/>
      <c r="Z32" s="26"/>
      <c r="AA32" s="26"/>
      <c r="AB32" s="26"/>
    </row>
    <row r="33" spans="1:28" s="17" customFormat="1" x14ac:dyDescent="0.35">
      <c r="A33" s="3"/>
      <c r="B33" s="28"/>
      <c r="C33" s="28"/>
      <c r="D33" s="28"/>
      <c r="E33" s="28"/>
      <c r="F33" s="28"/>
      <c r="G33" s="29"/>
      <c r="I33" s="3"/>
      <c r="J33" s="26"/>
      <c r="K33" s="26"/>
      <c r="L33" s="26"/>
      <c r="M33" s="26"/>
      <c r="N33" s="44" t="s">
        <v>61</v>
      </c>
      <c r="O33" s="54">
        <f>SUM(O30:O32)</f>
        <v>1374695.618001509</v>
      </c>
      <c r="P33" s="3"/>
      <c r="Q33" s="26"/>
      <c r="R33" s="26"/>
      <c r="S33" s="26"/>
      <c r="T33" s="26"/>
      <c r="U33" s="26"/>
      <c r="W33" s="3"/>
      <c r="X33" s="26"/>
      <c r="Y33" s="26"/>
      <c r="Z33" s="26"/>
      <c r="AA33" s="26"/>
      <c r="AB33" s="26"/>
    </row>
    <row r="34" spans="1:28" s="17" customFormat="1" x14ac:dyDescent="0.35">
      <c r="A34" s="3"/>
      <c r="B34" s="28"/>
      <c r="C34" s="28"/>
      <c r="D34" s="28"/>
      <c r="E34" s="28"/>
      <c r="F34" s="28"/>
      <c r="G34" s="29"/>
      <c r="I34" s="3"/>
      <c r="J34" s="26"/>
      <c r="K34" s="26"/>
      <c r="L34" s="26"/>
      <c r="M34" s="26"/>
      <c r="N34" s="26"/>
      <c r="P34" s="3"/>
      <c r="Q34" s="26"/>
      <c r="R34" s="26"/>
      <c r="S34" s="26"/>
      <c r="T34" s="26"/>
      <c r="U34" s="26"/>
      <c r="W34" s="3"/>
      <c r="X34" s="26"/>
      <c r="Y34" s="26"/>
      <c r="Z34" s="26"/>
      <c r="AA34" s="26"/>
      <c r="AB34" s="26"/>
    </row>
    <row r="35" spans="1:28" s="17" customFormat="1" x14ac:dyDescent="0.35">
      <c r="A35" s="3"/>
    </row>
    <row r="36" spans="1:28" s="17" customFormat="1" x14ac:dyDescent="0.35">
      <c r="A36" s="3"/>
    </row>
    <row r="37" spans="1:28" s="17" customFormat="1" x14ac:dyDescent="0.35">
      <c r="A37" s="3"/>
    </row>
    <row r="38" spans="1:28" s="33" customFormat="1" x14ac:dyDescent="0.35">
      <c r="A38" s="32" t="s">
        <v>32</v>
      </c>
    </row>
    <row r="39" spans="1:28" s="17" customFormat="1" x14ac:dyDescent="0.35">
      <c r="A39" s="59"/>
      <c r="B39" s="60"/>
      <c r="C39" s="60"/>
      <c r="D39" s="60"/>
      <c r="E39" s="60"/>
      <c r="F39" s="60"/>
    </row>
    <row r="40" spans="1:28" ht="21" x14ac:dyDescent="0.55000000000000004">
      <c r="A40" s="59" t="s">
        <v>27</v>
      </c>
      <c r="B40" s="61" t="s">
        <v>101</v>
      </c>
      <c r="C40" s="61"/>
      <c r="D40" s="61"/>
      <c r="E40" s="61"/>
      <c r="F40" s="61"/>
    </row>
    <row r="41" spans="1:28" x14ac:dyDescent="0.35">
      <c r="A41" s="62" t="s">
        <v>12</v>
      </c>
      <c r="B41" s="63" t="s">
        <v>0</v>
      </c>
      <c r="C41" s="63" t="s">
        <v>1</v>
      </c>
      <c r="D41" s="63" t="s">
        <v>2</v>
      </c>
      <c r="E41" s="63" t="s">
        <v>3</v>
      </c>
      <c r="F41" s="63" t="s">
        <v>4</v>
      </c>
      <c r="H41" s="14" t="s">
        <v>13</v>
      </c>
      <c r="I41" s="8" t="s">
        <v>0</v>
      </c>
      <c r="J41" s="8" t="s">
        <v>1</v>
      </c>
      <c r="K41" s="8" t="s">
        <v>2</v>
      </c>
      <c r="L41" s="8" t="s">
        <v>3</v>
      </c>
      <c r="M41" s="8" t="s">
        <v>4</v>
      </c>
      <c r="O41" s="14" t="s">
        <v>14</v>
      </c>
      <c r="P41" s="8" t="s">
        <v>0</v>
      </c>
      <c r="Q41" s="8" t="s">
        <v>1</v>
      </c>
      <c r="R41" s="8" t="s">
        <v>2</v>
      </c>
      <c r="S41" s="8" t="s">
        <v>3</v>
      </c>
      <c r="T41" s="8" t="s">
        <v>4</v>
      </c>
    </row>
    <row r="42" spans="1:28" x14ac:dyDescent="0.35">
      <c r="A42" s="64" t="s">
        <v>0</v>
      </c>
      <c r="B42" s="65"/>
      <c r="C42" s="65">
        <v>0</v>
      </c>
      <c r="D42" s="65">
        <v>0</v>
      </c>
      <c r="E42" s="65">
        <v>0</v>
      </c>
      <c r="F42" s="65">
        <v>0</v>
      </c>
      <c r="H42" s="5" t="s">
        <v>0</v>
      </c>
      <c r="I42" s="4"/>
      <c r="J42" s="4">
        <f>$H$9*$B$6*C6</f>
        <v>9.7960000000000012</v>
      </c>
      <c r="K42" s="4">
        <f>$H$9*$B$6*D6</f>
        <v>10.0962</v>
      </c>
      <c r="L42" s="4">
        <f>$H$9*$B$6*E6</f>
        <v>10.6808</v>
      </c>
      <c r="M42" s="4">
        <f>$H$9*$B$6*F6</f>
        <v>5.6248000000000005</v>
      </c>
      <c r="O42" s="5" t="s">
        <v>0</v>
      </c>
      <c r="P42" s="4"/>
      <c r="Q42" s="4">
        <f>$H$9*$B$9*C9</f>
        <v>1.4057999999999999</v>
      </c>
      <c r="R42" s="4">
        <f>$H$9*$B$9*D9</f>
        <v>2.3661000000000003</v>
      </c>
      <c r="S42" s="4">
        <f>$H$9*$B$9*E9</f>
        <v>3.7223999999999999</v>
      </c>
      <c r="T42" s="4">
        <f>$H$9*$B$9*F9</f>
        <v>3.9401999999999999</v>
      </c>
    </row>
    <row r="43" spans="1:28" x14ac:dyDescent="0.35">
      <c r="A43" s="64" t="s">
        <v>1</v>
      </c>
      <c r="B43" s="65"/>
      <c r="C43" s="65">
        <v>0</v>
      </c>
      <c r="D43" s="65">
        <v>0</v>
      </c>
      <c r="E43" s="65">
        <v>0</v>
      </c>
      <c r="F43" s="65">
        <v>0</v>
      </c>
      <c r="H43" s="5" t="s">
        <v>1</v>
      </c>
      <c r="I43" s="4"/>
      <c r="J43" s="4"/>
      <c r="K43" s="4">
        <f>$H$9*$C$6*D6</f>
        <v>19.809000000000001</v>
      </c>
      <c r="L43" s="4">
        <f>$H$9*$C$6*E6</f>
        <v>20.956</v>
      </c>
      <c r="M43" s="4">
        <f>$H$9*$C$6*F6</f>
        <v>11.036000000000001</v>
      </c>
      <c r="O43" s="5" t="s">
        <v>1</v>
      </c>
      <c r="P43" s="4"/>
      <c r="Q43" s="4"/>
      <c r="R43" s="4">
        <f>$H$9*$C$9*D9</f>
        <v>1.6969000000000001</v>
      </c>
      <c r="S43" s="4">
        <f>$H$9*$C$9*E9</f>
        <v>2.6695999999999995</v>
      </c>
      <c r="T43" s="4">
        <f>$H$9*$C$9*F9</f>
        <v>2.8257999999999996</v>
      </c>
    </row>
    <row r="44" spans="1:28" x14ac:dyDescent="0.35">
      <c r="A44" s="64" t="s">
        <v>2</v>
      </c>
      <c r="B44" s="65"/>
      <c r="C44" s="65">
        <v>0</v>
      </c>
      <c r="D44" s="65">
        <v>0</v>
      </c>
      <c r="E44" s="65">
        <v>0</v>
      </c>
      <c r="F44" s="65">
        <v>0</v>
      </c>
      <c r="H44" s="5" t="s">
        <v>2</v>
      </c>
      <c r="I44" s="4"/>
      <c r="J44" s="4"/>
      <c r="K44" s="4"/>
      <c r="L44" s="4">
        <f>$H$9*$D$6*E6</f>
        <v>21.598199999999999</v>
      </c>
      <c r="M44" s="4">
        <f>$H$9*$D$6*F6</f>
        <v>11.3742</v>
      </c>
      <c r="O44" s="5" t="s">
        <v>2</v>
      </c>
      <c r="P44" s="4"/>
      <c r="Q44" s="4"/>
      <c r="R44" s="4"/>
      <c r="S44" s="4">
        <f>$H$9*$D$9*E9</f>
        <v>4.4931999999999999</v>
      </c>
      <c r="T44" s="4">
        <f>$H$9*$D$9*F9</f>
        <v>4.7561</v>
      </c>
    </row>
    <row r="45" spans="1:28" x14ac:dyDescent="0.35">
      <c r="A45" s="64" t="s">
        <v>3</v>
      </c>
      <c r="B45" s="65"/>
      <c r="C45" s="65">
        <v>0</v>
      </c>
      <c r="D45" s="65">
        <v>0</v>
      </c>
      <c r="E45" s="65">
        <v>0</v>
      </c>
      <c r="F45" s="65">
        <v>0</v>
      </c>
      <c r="H45" s="5" t="s">
        <v>3</v>
      </c>
      <c r="I45" s="4"/>
      <c r="J45" s="4"/>
      <c r="K45" s="4"/>
      <c r="L45" s="4"/>
      <c r="M45" s="4">
        <f>$H$9*E6*F6</f>
        <v>12.0328</v>
      </c>
      <c r="O45" s="5" t="s">
        <v>3</v>
      </c>
      <c r="P45" s="4"/>
      <c r="Q45" s="4"/>
      <c r="R45" s="4"/>
      <c r="S45" s="4"/>
      <c r="T45" s="4">
        <f>$H$9*$E$9*F9</f>
        <v>7.4823999999999993</v>
      </c>
    </row>
    <row r="46" spans="1:28" x14ac:dyDescent="0.35">
      <c r="A46" s="64" t="s">
        <v>4</v>
      </c>
      <c r="B46" s="65"/>
      <c r="C46" s="65"/>
      <c r="D46" s="65"/>
      <c r="E46" s="65"/>
      <c r="F46" s="65"/>
      <c r="H46" s="5" t="s">
        <v>4</v>
      </c>
      <c r="I46" s="4"/>
      <c r="J46" s="4"/>
      <c r="K46" s="4"/>
      <c r="L46" s="4"/>
      <c r="M46" s="4"/>
      <c r="O46" s="5" t="s">
        <v>4</v>
      </c>
      <c r="P46" s="4"/>
      <c r="Q46" s="4"/>
      <c r="R46" s="4"/>
      <c r="S46" s="4"/>
      <c r="T46" s="4"/>
    </row>
    <row r="47" spans="1:28" x14ac:dyDescent="0.35">
      <c r="A47" s="61"/>
      <c r="B47" s="61"/>
      <c r="C47" s="61"/>
      <c r="D47" s="61"/>
      <c r="E47" s="61"/>
      <c r="F47" s="61"/>
    </row>
    <row r="48" spans="1:28" x14ac:dyDescent="0.35">
      <c r="A48" s="8" t="s">
        <v>11</v>
      </c>
      <c r="B48" s="15" t="s">
        <v>70</v>
      </c>
      <c r="C48" s="15" t="s">
        <v>63</v>
      </c>
    </row>
    <row r="49" spans="1:10" x14ac:dyDescent="0.35">
      <c r="A49" s="15" t="s">
        <v>12</v>
      </c>
      <c r="B49" s="4">
        <v>0</v>
      </c>
      <c r="C49" s="4">
        <v>0</v>
      </c>
    </row>
    <row r="50" spans="1:10" x14ac:dyDescent="0.35">
      <c r="A50" s="16" t="s">
        <v>13</v>
      </c>
      <c r="B50" s="4">
        <f>SQRT(SUM(B7:F7)+(2*SUM(I42:M46)))</f>
        <v>20.338065296384514</v>
      </c>
      <c r="C50" s="4">
        <f>SUM(B5:F5)</f>
        <v>26.43</v>
      </c>
    </row>
    <row r="51" spans="1:10" x14ac:dyDescent="0.35">
      <c r="A51" s="16" t="s">
        <v>14</v>
      </c>
      <c r="B51" s="4">
        <f>SQRT(SUM(B10:F10)+(2*SUM(P42:T46)))</f>
        <v>10.599240538831072</v>
      </c>
      <c r="C51" s="4">
        <f>SUM(B8:F8)</f>
        <v>6.49</v>
      </c>
    </row>
    <row r="53" spans="1:10" ht="19" x14ac:dyDescent="0.45">
      <c r="A53" s="3" t="s">
        <v>19</v>
      </c>
      <c r="B53" s="17"/>
      <c r="C53" s="17" t="s">
        <v>26</v>
      </c>
      <c r="D53" s="18" t="s">
        <v>30</v>
      </c>
      <c r="E53" s="17"/>
      <c r="F53" s="17" t="s">
        <v>39</v>
      </c>
      <c r="G53" s="17"/>
      <c r="H53" s="18" t="s">
        <v>86</v>
      </c>
      <c r="I53" s="17"/>
      <c r="J53" s="17" t="s">
        <v>42</v>
      </c>
    </row>
    <row r="54" spans="1:10" ht="43.5" x14ac:dyDescent="0.35">
      <c r="A54" s="3"/>
      <c r="B54" s="8" t="s">
        <v>64</v>
      </c>
      <c r="D54" s="17"/>
      <c r="E54" s="8" t="s">
        <v>65</v>
      </c>
      <c r="H54" s="8" t="s">
        <v>75</v>
      </c>
      <c r="I54" s="8" t="s">
        <v>87</v>
      </c>
    </row>
    <row r="55" spans="1:10" x14ac:dyDescent="0.35">
      <c r="A55" s="6" t="s">
        <v>12</v>
      </c>
      <c r="B55" s="4">
        <f>_xlfn.NORM.S.INV(0.95)*SQRT(SUM($K$5:$K$6))*B49</f>
        <v>0</v>
      </c>
      <c r="D55" s="6" t="s">
        <v>12</v>
      </c>
      <c r="E55" s="22">
        <f>((C49*$K$5))/2</f>
        <v>0</v>
      </c>
      <c r="H55" s="6" t="s">
        <v>12</v>
      </c>
      <c r="I55" s="35">
        <f>365*C49*$P$7*($K$4/365)</f>
        <v>0</v>
      </c>
    </row>
    <row r="56" spans="1:10" x14ac:dyDescent="0.35">
      <c r="A56" s="6" t="s">
        <v>13</v>
      </c>
      <c r="B56" s="4">
        <f t="shared" ref="B56:B57" si="23">_xlfn.NORM.S.INV(0.95)*SQRT(SUM($K$5:$K$6))*B50</f>
        <v>110.95151499119109</v>
      </c>
      <c r="D56" s="6" t="s">
        <v>13</v>
      </c>
      <c r="E56" s="22">
        <f>(($K$5*C50))/2</f>
        <v>79.289999999999992</v>
      </c>
      <c r="H56" s="6" t="s">
        <v>13</v>
      </c>
      <c r="I56" s="35">
        <f t="shared" ref="I56:I57" si="24">365*C50*$P$7*($K$4/365)</f>
        <v>4341.1275000000005</v>
      </c>
    </row>
    <row r="57" spans="1:10" x14ac:dyDescent="0.35">
      <c r="A57" s="6" t="s">
        <v>14</v>
      </c>
      <c r="B57" s="4">
        <f t="shared" si="23"/>
        <v>57.822697410083208</v>
      </c>
      <c r="D57" s="6" t="s">
        <v>14</v>
      </c>
      <c r="E57" s="22">
        <f>(($K$5*C51))/2</f>
        <v>19.47</v>
      </c>
      <c r="H57" s="6" t="s">
        <v>14</v>
      </c>
      <c r="I57" s="35">
        <f t="shared" si="24"/>
        <v>1065.9824999999998</v>
      </c>
    </row>
    <row r="58" spans="1:10" x14ac:dyDescent="0.35">
      <c r="D58" s="3"/>
      <c r="E58" s="26"/>
      <c r="F58" s="26"/>
      <c r="G58" s="26"/>
      <c r="H58" s="26"/>
      <c r="I58" s="26"/>
    </row>
    <row r="59" spans="1:10" x14ac:dyDescent="0.35">
      <c r="A59" s="13" t="s">
        <v>76</v>
      </c>
      <c r="B59" s="13" t="s">
        <v>51</v>
      </c>
      <c r="D59" s="3"/>
      <c r="E59" s="45" t="s">
        <v>76</v>
      </c>
      <c r="F59" s="47" t="s">
        <v>47</v>
      </c>
      <c r="G59" s="26"/>
      <c r="H59" s="47" t="s">
        <v>77</v>
      </c>
      <c r="I59" s="26"/>
    </row>
    <row r="60" spans="1:10" x14ac:dyDescent="0.35">
      <c r="A60" s="6" t="s">
        <v>12</v>
      </c>
      <c r="B60" s="36">
        <f>SUM(B30:F30)</f>
        <v>6305.3020000000006</v>
      </c>
      <c r="E60" s="6" t="s">
        <v>12</v>
      </c>
      <c r="F60" s="36">
        <f>SUM(X23:AB23)</f>
        <v>42816.888206211988</v>
      </c>
      <c r="H60" s="36">
        <f>SUM(B60,F60)*O1</f>
        <v>491221.90206211992</v>
      </c>
    </row>
    <row r="61" spans="1:10" x14ac:dyDescent="0.35">
      <c r="A61" s="6" t="s">
        <v>13</v>
      </c>
      <c r="B61" s="36">
        <f t="shared" ref="B61:B62" si="25">C50*365*$K$12</f>
        <v>2797.6154999999999</v>
      </c>
      <c r="E61" s="6" t="s">
        <v>13</v>
      </c>
      <c r="F61" s="36">
        <f t="shared" ref="F61:F62" si="26">(SUM(B56,E56)*$K$4) + I56</f>
        <v>14756.850445767712</v>
      </c>
      <c r="H61" s="36">
        <f>SUM(B61,F61)*O2</f>
        <v>351089.3189153542</v>
      </c>
    </row>
    <row r="62" spans="1:10" x14ac:dyDescent="0.35">
      <c r="A62" s="6" t="s">
        <v>14</v>
      </c>
      <c r="B62" s="36">
        <f t="shared" si="25"/>
        <v>686.96649999999988</v>
      </c>
      <c r="E62" s="6" t="s">
        <v>14</v>
      </c>
      <c r="F62" s="36">
        <f t="shared" si="26"/>
        <v>5297.7576832020559</v>
      </c>
      <c r="H62" s="36">
        <f>SUM(B62,F62)*O3</f>
        <v>418930.69282414386</v>
      </c>
    </row>
    <row r="63" spans="1:10" x14ac:dyDescent="0.35">
      <c r="G63" s="21" t="s">
        <v>66</v>
      </c>
      <c r="H63" s="54">
        <f>SUM(H60:H62)</f>
        <v>1261241.9138016179</v>
      </c>
    </row>
    <row r="64" spans="1:10" ht="15" customHeight="1" x14ac:dyDescent="0.35">
      <c r="G64" s="21"/>
      <c r="H64" s="53"/>
    </row>
    <row r="65" spans="1:8" x14ac:dyDescent="0.35">
      <c r="G65" s="21"/>
      <c r="H65" s="53"/>
    </row>
    <row r="66" spans="1:8" x14ac:dyDescent="0.35">
      <c r="A66" s="13" t="s">
        <v>78</v>
      </c>
      <c r="B66" s="45" t="s">
        <v>79</v>
      </c>
      <c r="H66" s="34"/>
    </row>
    <row r="67" spans="1:8" x14ac:dyDescent="0.35">
      <c r="A67">
        <f>C49*365*O1</f>
        <v>0</v>
      </c>
    </row>
    <row r="68" spans="1:8" x14ac:dyDescent="0.35">
      <c r="A68">
        <f>C50*365*O2</f>
        <v>192939</v>
      </c>
    </row>
    <row r="69" spans="1:8" x14ac:dyDescent="0.35">
      <c r="A69">
        <f>C51*365*O3</f>
        <v>165819.5</v>
      </c>
    </row>
    <row r="70" spans="1:8" x14ac:dyDescent="0.35">
      <c r="A70" s="48">
        <f>SUM(A67:A69)</f>
        <v>358758.5</v>
      </c>
      <c r="E70" s="40"/>
    </row>
    <row r="71" spans="1:8" x14ac:dyDescent="0.35">
      <c r="A71" s="4">
        <f>A70/1000</f>
        <v>358.75850000000003</v>
      </c>
      <c r="B71" s="49">
        <f xml:space="preserve"> -0.0009*(A71^3) + 0.3998*(A71^2) + 2000.5*(A71) + 396.83</f>
        <v>727993.06148360495</v>
      </c>
    </row>
    <row r="73" spans="1:8" x14ac:dyDescent="0.35">
      <c r="A73" s="40" t="s">
        <v>80</v>
      </c>
      <c r="D73" s="40"/>
    </row>
    <row r="74" spans="1:8" x14ac:dyDescent="0.35">
      <c r="A74" s="48" t="s">
        <v>81</v>
      </c>
      <c r="B74" s="48" t="s">
        <v>84</v>
      </c>
      <c r="D74" s="48" t="s">
        <v>88</v>
      </c>
      <c r="E74" s="40"/>
    </row>
    <row r="75" spans="1:8" x14ac:dyDescent="0.35">
      <c r="A75" s="4">
        <v>0</v>
      </c>
      <c r="B75" s="55">
        <f>PMT($O$5,3,$B$71)</f>
        <v>-303099.16900309332</v>
      </c>
      <c r="D75" s="52">
        <f>O33-H63</f>
        <v>113453.70419989107</v>
      </c>
      <c r="E75" s="50"/>
    </row>
    <row r="76" spans="1:8" x14ac:dyDescent="0.35">
      <c r="A76" s="4">
        <v>1</v>
      </c>
      <c r="B76" s="55">
        <f>PMT($O$5,3,$B$71)</f>
        <v>-303099.16900309332</v>
      </c>
      <c r="E76" s="50"/>
    </row>
    <row r="77" spans="1:8" x14ac:dyDescent="0.35">
      <c r="A77" s="4">
        <v>2</v>
      </c>
      <c r="B77" s="55">
        <f>PMT($O$5,3,$B$71)</f>
        <v>-303099.16900309332</v>
      </c>
      <c r="D77" t="s">
        <v>89</v>
      </c>
      <c r="E77" s="50"/>
    </row>
    <row r="78" spans="1:8" x14ac:dyDescent="0.35">
      <c r="A78" s="4">
        <v>3</v>
      </c>
      <c r="B78" s="55">
        <v>0</v>
      </c>
      <c r="D78" s="66">
        <f>B79/D75</f>
        <v>-7.1866514593925466</v>
      </c>
      <c r="E78" s="50"/>
    </row>
    <row r="79" spans="1:8" x14ac:dyDescent="0.35">
      <c r="A79" s="56" t="s">
        <v>82</v>
      </c>
      <c r="B79" s="55">
        <f>NPV(O5, B76:B78)+B75</f>
        <v>-815352.22886163741</v>
      </c>
      <c r="E79" s="34"/>
    </row>
    <row r="80" spans="1:8" x14ac:dyDescent="0.35">
      <c r="D80" t="s">
        <v>90</v>
      </c>
      <c r="E80" s="50"/>
    </row>
    <row r="81" spans="1:5" x14ac:dyDescent="0.35">
      <c r="E81" s="50"/>
    </row>
    <row r="82" spans="1:5" x14ac:dyDescent="0.35">
      <c r="D82" s="51"/>
      <c r="E82" s="50"/>
    </row>
    <row r="83" spans="1:5" x14ac:dyDescent="0.35">
      <c r="A83" t="s">
        <v>102</v>
      </c>
    </row>
  </sheetData>
  <pageMargins left="0.7" right="0.7" top="0.75" bottom="0.75" header="0.3" footer="0.3"/>
  <pageSetup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0"/>
  <sheetViews>
    <sheetView zoomScaleNormal="100" workbookViewId="0">
      <selection activeCell="B9" sqref="B9"/>
    </sheetView>
  </sheetViews>
  <sheetFormatPr defaultRowHeight="14.5" x14ac:dyDescent="0.35"/>
  <cols>
    <col min="1" max="1" width="18.54296875" customWidth="1"/>
    <col min="2" max="2" width="13.90625" bestFit="1" customWidth="1"/>
    <col min="3" max="3" width="11.36328125" customWidth="1"/>
    <col min="4" max="4" width="12.6328125" customWidth="1"/>
    <col min="5" max="5" width="16.81640625" customWidth="1"/>
    <col min="6" max="6" width="16.90625" customWidth="1"/>
    <col min="7" max="7" width="13.453125" customWidth="1"/>
    <col min="8" max="8" width="14.90625" bestFit="1" customWidth="1"/>
    <col min="9" max="9" width="11.08984375" bestFit="1" customWidth="1"/>
    <col min="10" max="12" width="12.1796875" bestFit="1" customWidth="1"/>
    <col min="13" max="13" width="15.453125" customWidth="1"/>
    <col min="14" max="14" width="12.1796875" bestFit="1" customWidth="1"/>
    <col min="15" max="15" width="14.90625" bestFit="1" customWidth="1"/>
    <col min="17" max="17" width="12.1796875" bestFit="1" customWidth="1"/>
    <col min="18" max="18" width="14.1796875" customWidth="1"/>
    <col min="19" max="19" width="14.08984375" customWidth="1"/>
    <col min="20" max="20" width="13" customWidth="1"/>
    <col min="21" max="21" width="13.6328125" customWidth="1"/>
    <col min="24" max="28" width="12.1796875" bestFit="1" customWidth="1"/>
    <col min="30" max="30" width="10.1796875" bestFit="1" customWidth="1"/>
  </cols>
  <sheetData>
    <row r="1" spans="1:30" ht="15" thickBot="1" x14ac:dyDescent="0.4">
      <c r="A1" s="1"/>
      <c r="B1" s="8" t="s">
        <v>0</v>
      </c>
      <c r="C1" s="8" t="s">
        <v>1</v>
      </c>
      <c r="D1" s="8" t="s">
        <v>2</v>
      </c>
      <c r="E1" s="8" t="s">
        <v>3</v>
      </c>
      <c r="F1" s="8" t="s">
        <v>4</v>
      </c>
      <c r="I1" s="41" t="s">
        <v>49</v>
      </c>
      <c r="J1" t="s">
        <v>52</v>
      </c>
      <c r="K1" s="34">
        <v>0.09</v>
      </c>
      <c r="L1" s="43" t="s">
        <v>54</v>
      </c>
      <c r="N1" s="21" t="s">
        <v>58</v>
      </c>
      <c r="O1">
        <v>10</v>
      </c>
    </row>
    <row r="2" spans="1:30" ht="15" thickBot="1" x14ac:dyDescent="0.4">
      <c r="A2" s="9" t="s">
        <v>5</v>
      </c>
      <c r="B2" s="2">
        <v>35.479999999999997</v>
      </c>
      <c r="C2" s="2">
        <v>22.61</v>
      </c>
      <c r="D2" s="2">
        <v>17.66</v>
      </c>
      <c r="E2" s="2">
        <v>11.81</v>
      </c>
      <c r="F2" s="2">
        <v>3.36</v>
      </c>
      <c r="I2" s="21" t="s">
        <v>50</v>
      </c>
      <c r="J2" t="s">
        <v>53</v>
      </c>
      <c r="K2" s="34">
        <v>0.1</v>
      </c>
      <c r="L2" s="43" t="s">
        <v>54</v>
      </c>
      <c r="N2" s="21" t="s">
        <v>59</v>
      </c>
      <c r="O2">
        <v>20</v>
      </c>
    </row>
    <row r="3" spans="1:30" ht="15" thickBot="1" x14ac:dyDescent="0.4">
      <c r="A3" s="9" t="s">
        <v>6</v>
      </c>
      <c r="B3" s="2">
        <v>6.98</v>
      </c>
      <c r="C3" s="2">
        <v>6.48</v>
      </c>
      <c r="D3" s="2">
        <v>5.26</v>
      </c>
      <c r="E3" s="2">
        <v>3.48</v>
      </c>
      <c r="F3" s="2">
        <v>4.49</v>
      </c>
      <c r="I3" s="21" t="s">
        <v>51</v>
      </c>
      <c r="K3" s="42">
        <f>SUM(K1:K2)</f>
        <v>0.19</v>
      </c>
      <c r="L3" s="43" t="s">
        <v>54</v>
      </c>
      <c r="N3" s="21" t="s">
        <v>60</v>
      </c>
      <c r="O3">
        <v>70</v>
      </c>
    </row>
    <row r="4" spans="1:30" ht="15" thickBot="1" x14ac:dyDescent="0.4">
      <c r="A4" s="9" t="s">
        <v>15</v>
      </c>
      <c r="B4" s="2">
        <f>B3^2</f>
        <v>48.720400000000005</v>
      </c>
      <c r="C4" s="2">
        <f t="shared" ref="C4:F4" si="0">C3^2</f>
        <v>41.990400000000008</v>
      </c>
      <c r="D4" s="2">
        <f t="shared" si="0"/>
        <v>27.667599999999997</v>
      </c>
      <c r="E4" s="2">
        <f t="shared" si="0"/>
        <v>12.1104</v>
      </c>
      <c r="F4" s="2">
        <f t="shared" si="0"/>
        <v>20.160100000000003</v>
      </c>
      <c r="I4" s="21" t="s">
        <v>36</v>
      </c>
      <c r="J4" t="s">
        <v>37</v>
      </c>
      <c r="K4" s="34">
        <f>0.15*365</f>
        <v>54.75</v>
      </c>
      <c r="L4" t="s">
        <v>38</v>
      </c>
      <c r="N4" s="34"/>
    </row>
    <row r="5" spans="1:30" ht="15" thickBot="1" x14ac:dyDescent="0.4">
      <c r="A5" s="9" t="s">
        <v>7</v>
      </c>
      <c r="B5" s="2">
        <v>2.48</v>
      </c>
      <c r="C5" s="2">
        <v>4.1500000000000004</v>
      </c>
      <c r="D5" s="2">
        <v>6.15</v>
      </c>
      <c r="E5" s="2">
        <v>6.16</v>
      </c>
      <c r="F5" s="2">
        <v>7.49</v>
      </c>
      <c r="I5" s="21" t="s">
        <v>21</v>
      </c>
      <c r="J5" t="s">
        <v>24</v>
      </c>
      <c r="K5">
        <v>6</v>
      </c>
      <c r="L5" t="s">
        <v>22</v>
      </c>
      <c r="N5" t="s">
        <v>91</v>
      </c>
      <c r="O5" s="57">
        <v>0.12</v>
      </c>
    </row>
    <row r="6" spans="1:30" ht="25.5" thickBot="1" x14ac:dyDescent="0.55000000000000004">
      <c r="A6" s="9" t="s">
        <v>8</v>
      </c>
      <c r="B6" s="2">
        <v>3.16</v>
      </c>
      <c r="C6" s="2">
        <v>6.2</v>
      </c>
      <c r="D6" s="2">
        <v>6.39</v>
      </c>
      <c r="E6" s="2">
        <v>6.76</v>
      </c>
      <c r="F6" s="2">
        <v>3.56</v>
      </c>
      <c r="I6" s="21" t="s">
        <v>23</v>
      </c>
      <c r="J6" t="s">
        <v>25</v>
      </c>
      <c r="K6">
        <v>5</v>
      </c>
      <c r="L6" t="s">
        <v>22</v>
      </c>
      <c r="N6" s="23"/>
    </row>
    <row r="7" spans="1:30" ht="15" thickBot="1" x14ac:dyDescent="0.4">
      <c r="A7" s="9" t="s">
        <v>16</v>
      </c>
      <c r="B7" s="2">
        <f>B6^2</f>
        <v>9.9856000000000016</v>
      </c>
      <c r="C7" s="2">
        <f t="shared" ref="C7:F7" si="1">C6^2</f>
        <v>38.440000000000005</v>
      </c>
      <c r="D7" s="2">
        <f t="shared" si="1"/>
        <v>40.832099999999997</v>
      </c>
      <c r="E7" s="2">
        <f t="shared" si="1"/>
        <v>45.697599999999994</v>
      </c>
      <c r="F7" s="2">
        <f t="shared" si="1"/>
        <v>12.6736</v>
      </c>
      <c r="I7" s="21" t="s">
        <v>72</v>
      </c>
      <c r="K7" s="24">
        <v>4</v>
      </c>
      <c r="L7" t="s">
        <v>22</v>
      </c>
      <c r="M7" s="25" t="s">
        <v>29</v>
      </c>
      <c r="O7" s="21" t="s">
        <v>73</v>
      </c>
      <c r="P7" s="24">
        <v>3</v>
      </c>
      <c r="Q7" t="s">
        <v>22</v>
      </c>
    </row>
    <row r="8" spans="1:30" ht="15" thickBot="1" x14ac:dyDescent="0.4">
      <c r="A8" s="9" t="s">
        <v>9</v>
      </c>
      <c r="B8" s="2">
        <v>0.48</v>
      </c>
      <c r="C8" s="2">
        <v>0.73</v>
      </c>
      <c r="D8" s="2">
        <v>0.8</v>
      </c>
      <c r="E8" s="2">
        <v>1.94</v>
      </c>
      <c r="F8" s="2">
        <v>2.54</v>
      </c>
      <c r="H8" s="11" t="s">
        <v>18</v>
      </c>
    </row>
    <row r="9" spans="1:30" ht="15" thickBot="1" x14ac:dyDescent="0.4">
      <c r="A9" s="9" t="s">
        <v>10</v>
      </c>
      <c r="B9" s="2">
        <v>1.98</v>
      </c>
      <c r="C9" s="2">
        <v>1.42</v>
      </c>
      <c r="D9" s="2">
        <v>2.39</v>
      </c>
      <c r="E9" s="2">
        <v>3.76</v>
      </c>
      <c r="F9" s="2">
        <v>3.98</v>
      </c>
      <c r="H9" s="12">
        <v>0.5</v>
      </c>
    </row>
    <row r="10" spans="1:30" x14ac:dyDescent="0.35">
      <c r="A10" s="10" t="s">
        <v>17</v>
      </c>
      <c r="B10" s="2">
        <f>B9^2</f>
        <v>3.9203999999999999</v>
      </c>
      <c r="C10" s="2">
        <f t="shared" ref="C10:F10" si="2">C9^2</f>
        <v>2.0164</v>
      </c>
      <c r="D10" s="2">
        <f t="shared" si="2"/>
        <v>5.7121000000000004</v>
      </c>
      <c r="E10" s="2">
        <f t="shared" si="2"/>
        <v>14.137599999999999</v>
      </c>
      <c r="F10" s="2">
        <f t="shared" si="2"/>
        <v>15.840400000000001</v>
      </c>
      <c r="H10" s="7"/>
      <c r="I10" s="21" t="s">
        <v>68</v>
      </c>
      <c r="K10" s="34">
        <f>0.05</f>
        <v>0.05</v>
      </c>
      <c r="L10" t="s">
        <v>54</v>
      </c>
    </row>
    <row r="11" spans="1:30" x14ac:dyDescent="0.35">
      <c r="I11" s="21" t="s">
        <v>69</v>
      </c>
      <c r="K11" s="34">
        <v>0.24</v>
      </c>
      <c r="L11" t="s">
        <v>54</v>
      </c>
    </row>
    <row r="12" spans="1:30" s="17" customFormat="1" x14ac:dyDescent="0.35">
      <c r="A12" s="3"/>
      <c r="I12" s="21" t="s">
        <v>67</v>
      </c>
      <c r="K12" s="46">
        <f>SUM(K10:K11)</f>
        <v>0.28999999999999998</v>
      </c>
      <c r="L12" t="s">
        <v>54</v>
      </c>
    </row>
    <row r="13" spans="1:30" s="31" customFormat="1" x14ac:dyDescent="0.35">
      <c r="A13" s="30" t="s">
        <v>33</v>
      </c>
    </row>
    <row r="14" spans="1:30" s="17" customFormat="1" ht="19" x14ac:dyDescent="0.45">
      <c r="A14" s="3" t="s">
        <v>19</v>
      </c>
      <c r="D14" s="17" t="s">
        <v>26</v>
      </c>
      <c r="I14" s="18" t="s">
        <v>30</v>
      </c>
      <c r="M14" s="17" t="s">
        <v>71</v>
      </c>
      <c r="P14" s="18"/>
      <c r="W14" s="26"/>
      <c r="X14" s="26"/>
      <c r="Y14" s="26"/>
      <c r="Z14" s="26"/>
      <c r="AA14" s="26"/>
      <c r="AB14" s="26"/>
      <c r="AD14" s="24" t="s">
        <v>31</v>
      </c>
    </row>
    <row r="15" spans="1:30" s="17" customFormat="1" ht="29" x14ac:dyDescent="0.35">
      <c r="A15" s="3"/>
      <c r="B15" s="8" t="s">
        <v>0</v>
      </c>
      <c r="C15" s="8" t="s">
        <v>1</v>
      </c>
      <c r="D15" s="8" t="s">
        <v>2</v>
      </c>
      <c r="E15" s="8" t="s">
        <v>3</v>
      </c>
      <c r="F15" s="8" t="s">
        <v>4</v>
      </c>
      <c r="G15" s="19" t="s">
        <v>20</v>
      </c>
      <c r="J15" s="8" t="s">
        <v>0</v>
      </c>
      <c r="K15" s="8" t="s">
        <v>1</v>
      </c>
      <c r="L15" s="8" t="s">
        <v>2</v>
      </c>
      <c r="M15" s="8" t="s">
        <v>3</v>
      </c>
      <c r="N15" s="8" t="s">
        <v>4</v>
      </c>
      <c r="P15" s="26"/>
      <c r="Q15" s="39"/>
      <c r="R15" s="39"/>
      <c r="S15" s="39"/>
      <c r="T15" s="39"/>
      <c r="U15" s="39"/>
      <c r="W15" s="26"/>
      <c r="X15" s="39"/>
      <c r="Y15" s="39"/>
      <c r="Z15" s="39"/>
      <c r="AA15" s="39"/>
      <c r="AB15" s="39"/>
      <c r="AD15" s="24"/>
    </row>
    <row r="16" spans="1:30" s="17" customFormat="1" x14ac:dyDescent="0.35">
      <c r="A16" s="6" t="s">
        <v>12</v>
      </c>
      <c r="B16" s="4">
        <f>_xlfn.NORM.S.INV(0.95)*SQRT(SUM($K$5:$K$6))*B3</f>
        <v>38.07842896325964</v>
      </c>
      <c r="C16" s="4">
        <f>_xlfn.NORM.S.INV(0.95)*SQRT(SUM($K$5:$K$6))*C3</f>
        <v>35.350747805433016</v>
      </c>
      <c r="D16" s="4">
        <f>_xlfn.NORM.S.INV(0.95)*SQRT(SUM($K$5:$K$6))*D3</f>
        <v>28.695205780336057</v>
      </c>
      <c r="E16" s="4">
        <f>_xlfn.NORM.S.INV(0.95)*SQRT(SUM($K$5:$K$6))*E3</f>
        <v>18.984660858473287</v>
      </c>
      <c r="F16" s="4">
        <f>_xlfn.NORM.S.INV(0.95)*SQRT(SUM($K$5:$K$6))*F3</f>
        <v>24.494576797283063</v>
      </c>
      <c r="G16" s="20">
        <f>SUM(B16:F16)</f>
        <v>145.60362020478507</v>
      </c>
      <c r="I16" s="6" t="s">
        <v>12</v>
      </c>
      <c r="J16" s="22">
        <f>((B2*$K$5))/2</f>
        <v>106.44</v>
      </c>
      <c r="K16" s="22">
        <f t="shared" ref="K16:N16" si="3">((C2*$K$5))/2</f>
        <v>67.83</v>
      </c>
      <c r="L16" s="22">
        <f t="shared" si="3"/>
        <v>52.980000000000004</v>
      </c>
      <c r="M16" s="22">
        <f t="shared" si="3"/>
        <v>35.43</v>
      </c>
      <c r="N16" s="22">
        <f t="shared" si="3"/>
        <v>10.08</v>
      </c>
      <c r="P16" s="3"/>
      <c r="Q16" s="58"/>
      <c r="R16" s="26"/>
      <c r="S16" s="26"/>
      <c r="T16" s="26"/>
      <c r="U16" s="26"/>
      <c r="W16" s="3"/>
      <c r="X16" s="26"/>
      <c r="Y16" s="26"/>
      <c r="Z16" s="26"/>
      <c r="AA16" s="26"/>
      <c r="AB16" s="26"/>
      <c r="AD16" s="27">
        <f>X16*0.15</f>
        <v>0</v>
      </c>
    </row>
    <row r="17" spans="1:28" s="17" customFormat="1" x14ac:dyDescent="0.35">
      <c r="A17" s="6" t="s">
        <v>13</v>
      </c>
      <c r="B17" s="4">
        <f>_xlfn.NORM.S.INV(0.95)*SQRT(SUM($K$5:$K$6))*B6</f>
        <v>17.238944917464249</v>
      </c>
      <c r="C17" s="4">
        <f>_xlfn.NORM.S.INV(0.95)*SQRT(SUM($K$5:$K$6))*C6</f>
        <v>33.82324635705011</v>
      </c>
      <c r="D17" s="4">
        <f>_xlfn.NORM.S.INV(0.95)*SQRT(SUM($K$5:$K$6))*D6</f>
        <v>34.859765197024224</v>
      </c>
      <c r="E17" s="4">
        <f>_xlfn.NORM.S.INV(0.95)*SQRT(SUM($K$5:$K$6))*E6</f>
        <v>36.878249253815923</v>
      </c>
      <c r="F17" s="4">
        <f>_xlfn.NORM.S.INV(0.95)*SQRT(SUM($K$5:$K$6))*F6</f>
        <v>19.421089843725547</v>
      </c>
      <c r="G17" s="20">
        <f t="shared" ref="G17:G18" si="4">SUM(B17:F17)</f>
        <v>142.22129556908004</v>
      </c>
      <c r="I17" s="6" t="s">
        <v>13</v>
      </c>
      <c r="J17" s="22">
        <f>(($K$5*B5))/2</f>
        <v>7.4399999999999995</v>
      </c>
      <c r="K17" s="22">
        <f t="shared" ref="K17:N17" si="5">(($K$5*C5))/2</f>
        <v>12.450000000000001</v>
      </c>
      <c r="L17" s="22">
        <f t="shared" si="5"/>
        <v>18.450000000000003</v>
      </c>
      <c r="M17" s="22">
        <f t="shared" si="5"/>
        <v>18.48</v>
      </c>
      <c r="N17" s="22">
        <f t="shared" si="5"/>
        <v>22.47</v>
      </c>
      <c r="P17" s="3"/>
      <c r="Q17" s="26"/>
      <c r="R17" s="26"/>
      <c r="S17" s="26"/>
      <c r="T17" s="26"/>
      <c r="U17" s="26"/>
      <c r="W17" s="3"/>
      <c r="X17" s="26"/>
      <c r="Y17" s="26"/>
      <c r="Z17" s="26"/>
      <c r="AA17" s="26"/>
      <c r="AB17" s="26"/>
    </row>
    <row r="18" spans="1:28" s="17" customFormat="1" x14ac:dyDescent="0.35">
      <c r="A18" s="6" t="s">
        <v>14</v>
      </c>
      <c r="B18" s="4">
        <f>_xlfn.NORM.S.INV(0.95)*SQRT(SUM($K$5:$K$6))*B9</f>
        <v>10.801617384993421</v>
      </c>
      <c r="C18" s="4">
        <f t="shared" ref="C18:F18" si="6">_xlfn.NORM.S.INV(0.95)*SQRT(SUM($K$5:$K$6))*C9</f>
        <v>7.7466144882276051</v>
      </c>
      <c r="D18" s="4">
        <f t="shared" si="6"/>
        <v>13.038315934411251</v>
      </c>
      <c r="E18" s="4">
        <f t="shared" si="6"/>
        <v>20.512162306856194</v>
      </c>
      <c r="F18" s="4">
        <f t="shared" si="6"/>
        <v>21.712342016299907</v>
      </c>
      <c r="G18" s="20">
        <f t="shared" si="4"/>
        <v>73.811052130788369</v>
      </c>
      <c r="I18" s="6" t="s">
        <v>14</v>
      </c>
      <c r="J18" s="22">
        <f>(($K$5*B8))/2</f>
        <v>1.44</v>
      </c>
      <c r="K18" s="22">
        <f t="shared" ref="K18:N18" si="7">(($K$5*C8))/2</f>
        <v>2.19</v>
      </c>
      <c r="L18" s="22">
        <f t="shared" si="7"/>
        <v>2.4000000000000004</v>
      </c>
      <c r="M18" s="22">
        <f t="shared" si="7"/>
        <v>5.82</v>
      </c>
      <c r="N18" s="22">
        <f t="shared" si="7"/>
        <v>7.62</v>
      </c>
      <c r="P18" s="3"/>
      <c r="Q18" s="26"/>
      <c r="R18" s="26"/>
      <c r="S18" s="26"/>
      <c r="T18" s="26"/>
      <c r="U18" s="26"/>
      <c r="W18" s="3"/>
      <c r="X18" s="26"/>
      <c r="Y18" s="26"/>
      <c r="Z18" s="26"/>
      <c r="AA18" s="26"/>
      <c r="AB18" s="26"/>
    </row>
    <row r="19" spans="1:28" s="17" customFormat="1" x14ac:dyDescent="0.35">
      <c r="A19" s="3"/>
      <c r="B19" s="28"/>
      <c r="C19" s="28"/>
      <c r="D19" s="28"/>
      <c r="E19" s="28"/>
      <c r="F19" s="28"/>
      <c r="G19" s="29"/>
      <c r="I19" s="3"/>
      <c r="J19" s="26"/>
      <c r="K19" s="26"/>
      <c r="L19" s="26"/>
      <c r="M19" s="26"/>
      <c r="N19" s="26"/>
      <c r="P19" s="3"/>
      <c r="Q19" s="26"/>
      <c r="R19" s="26"/>
      <c r="S19" s="26"/>
      <c r="T19" s="26"/>
      <c r="U19" s="26"/>
      <c r="W19" s="3"/>
      <c r="X19" s="26"/>
      <c r="Y19" s="26"/>
      <c r="Z19" s="26"/>
      <c r="AA19" s="26"/>
      <c r="AB19" s="26"/>
    </row>
    <row r="20" spans="1:28" s="17" customFormat="1" x14ac:dyDescent="0.35">
      <c r="A20" s="3"/>
      <c r="B20" s="28"/>
      <c r="C20" s="28"/>
      <c r="D20" s="28"/>
      <c r="E20" s="28"/>
      <c r="F20" s="28"/>
      <c r="G20" s="29"/>
      <c r="I20" s="3"/>
      <c r="J20" s="26"/>
      <c r="K20" s="26"/>
      <c r="L20" s="26"/>
      <c r="M20" s="26"/>
      <c r="N20" s="26"/>
      <c r="P20" s="3"/>
      <c r="Q20" s="26"/>
      <c r="R20" s="26"/>
      <c r="S20" s="26"/>
      <c r="T20" s="26"/>
      <c r="U20" s="26"/>
      <c r="W20" s="3"/>
      <c r="X20" s="26"/>
      <c r="Y20" s="26"/>
      <c r="Z20" s="26"/>
      <c r="AA20" s="26"/>
      <c r="AB20" s="26"/>
    </row>
    <row r="21" spans="1:28" s="17" customFormat="1" x14ac:dyDescent="0.35">
      <c r="A21" s="3" t="s">
        <v>46</v>
      </c>
      <c r="D21" s="17" t="s">
        <v>62</v>
      </c>
      <c r="I21" s="18" t="s">
        <v>43</v>
      </c>
      <c r="M21" s="17" t="s">
        <v>45</v>
      </c>
      <c r="P21" s="18" t="s">
        <v>44</v>
      </c>
      <c r="W21" s="3" t="s">
        <v>47</v>
      </c>
      <c r="X21" s="26"/>
      <c r="Y21" s="26"/>
      <c r="Z21" s="26"/>
      <c r="AA21" s="26"/>
      <c r="AB21" s="26"/>
    </row>
    <row r="22" spans="1:28" s="17" customFormat="1" x14ac:dyDescent="0.35">
      <c r="A22" s="3"/>
      <c r="B22" s="8" t="s">
        <v>0</v>
      </c>
      <c r="C22" s="8" t="s">
        <v>1</v>
      </c>
      <c r="D22" s="8" t="s">
        <v>2</v>
      </c>
      <c r="E22" s="8" t="s">
        <v>3</v>
      </c>
      <c r="F22" s="8" t="s">
        <v>4</v>
      </c>
      <c r="G22" s="38"/>
      <c r="J22" s="8" t="s">
        <v>0</v>
      </c>
      <c r="K22" s="8" t="s">
        <v>1</v>
      </c>
      <c r="L22" s="8" t="s">
        <v>2</v>
      </c>
      <c r="M22" s="8" t="s">
        <v>3</v>
      </c>
      <c r="N22" s="8" t="s">
        <v>4</v>
      </c>
      <c r="Q22" s="8" t="s">
        <v>0</v>
      </c>
      <c r="R22" s="8" t="s">
        <v>1</v>
      </c>
      <c r="S22" s="8" t="s">
        <v>2</v>
      </c>
      <c r="T22" s="8" t="s">
        <v>3</v>
      </c>
      <c r="U22" s="8" t="s">
        <v>4</v>
      </c>
      <c r="X22" s="8" t="s">
        <v>0</v>
      </c>
      <c r="Y22" s="8" t="s">
        <v>1</v>
      </c>
      <c r="Z22" s="8" t="s">
        <v>2</v>
      </c>
      <c r="AA22" s="8" t="s">
        <v>3</v>
      </c>
      <c r="AB22" s="8" t="s">
        <v>4</v>
      </c>
    </row>
    <row r="23" spans="1:28" s="17" customFormat="1" x14ac:dyDescent="0.35">
      <c r="A23" s="6" t="s">
        <v>12</v>
      </c>
      <c r="B23" s="36">
        <f>B16*$K$4</f>
        <v>2084.7939857384654</v>
      </c>
      <c r="C23" s="36">
        <f t="shared" ref="C23:F23" si="8">C16*$K$4</f>
        <v>1935.4534423474577</v>
      </c>
      <c r="D23" s="36">
        <f t="shared" si="8"/>
        <v>1571.062516473399</v>
      </c>
      <c r="E23" s="36">
        <f t="shared" si="8"/>
        <v>1039.4101820014125</v>
      </c>
      <c r="F23" s="36">
        <f t="shared" si="8"/>
        <v>1341.0780796512477</v>
      </c>
      <c r="G23" s="37"/>
      <c r="I23" s="6" t="s">
        <v>12</v>
      </c>
      <c r="J23" s="35">
        <f>J16*$K$4</f>
        <v>5827.59</v>
      </c>
      <c r="K23" s="35">
        <f t="shared" ref="K23:N23" si="9">K16*$K$4</f>
        <v>3713.6925000000001</v>
      </c>
      <c r="L23" s="35">
        <f t="shared" si="9"/>
        <v>2900.6550000000002</v>
      </c>
      <c r="M23" s="35">
        <f t="shared" si="9"/>
        <v>1939.7925</v>
      </c>
      <c r="N23" s="35">
        <f t="shared" si="9"/>
        <v>551.88</v>
      </c>
      <c r="P23" s="6" t="s">
        <v>12</v>
      </c>
      <c r="Q23" s="35">
        <f>365*B2*$K$7*($K$4/365)</f>
        <v>7770.119999999999</v>
      </c>
      <c r="R23" s="35">
        <f t="shared" ref="R23:U23" si="10">365*C2*$K$7*($K$4/365)</f>
        <v>4951.5899999999992</v>
      </c>
      <c r="S23" s="35">
        <f t="shared" si="10"/>
        <v>3867.5399999999995</v>
      </c>
      <c r="T23" s="35">
        <f t="shared" si="10"/>
        <v>2586.3900000000003</v>
      </c>
      <c r="U23" s="35">
        <f t="shared" si="10"/>
        <v>735.83999999999992</v>
      </c>
      <c r="W23" s="6" t="s">
        <v>12</v>
      </c>
      <c r="X23" s="35">
        <f>Q23+J23+B23</f>
        <v>15682.503985738465</v>
      </c>
      <c r="Y23" s="35">
        <f t="shared" ref="Y23:AB25" si="11">R23+K23+C23</f>
        <v>10600.735942347457</v>
      </c>
      <c r="Z23" s="35">
        <f t="shared" si="11"/>
        <v>8339.2575164733989</v>
      </c>
      <c r="AA23" s="35">
        <f t="shared" si="11"/>
        <v>5565.5926820014138</v>
      </c>
      <c r="AB23" s="35">
        <f t="shared" si="11"/>
        <v>2628.7980796512475</v>
      </c>
    </row>
    <row r="24" spans="1:28" s="17" customFormat="1" x14ac:dyDescent="0.35">
      <c r="A24" s="6" t="s">
        <v>13</v>
      </c>
      <c r="B24" s="36">
        <f t="shared" ref="B24:F25" si="12">B17*$K$4</f>
        <v>943.8322342311676</v>
      </c>
      <c r="C24" s="36">
        <f t="shared" si="12"/>
        <v>1851.8227380484934</v>
      </c>
      <c r="D24" s="36">
        <f t="shared" si="12"/>
        <v>1908.5721445370762</v>
      </c>
      <c r="E24" s="36">
        <f t="shared" si="12"/>
        <v>2019.0841466464217</v>
      </c>
      <c r="F24" s="36">
        <f t="shared" si="12"/>
        <v>1063.3046689439736</v>
      </c>
      <c r="G24" s="37"/>
      <c r="I24" s="6" t="s">
        <v>13</v>
      </c>
      <c r="J24" s="35">
        <f t="shared" ref="J24:N25" si="13">J17*$K$4</f>
        <v>407.34</v>
      </c>
      <c r="K24" s="35">
        <f t="shared" si="13"/>
        <v>681.63750000000005</v>
      </c>
      <c r="L24" s="35">
        <f t="shared" si="13"/>
        <v>1010.1375000000002</v>
      </c>
      <c r="M24" s="35">
        <f t="shared" si="13"/>
        <v>1011.78</v>
      </c>
      <c r="N24" s="35">
        <f t="shared" si="13"/>
        <v>1230.2324999999998</v>
      </c>
      <c r="P24" s="6" t="s">
        <v>13</v>
      </c>
      <c r="Q24" s="35">
        <f>365*B5*$K$7*($K$4/365)</f>
        <v>543.12</v>
      </c>
      <c r="R24" s="35">
        <f t="shared" ref="R24:U24" si="14">365*C5*$K$7*($K$4/365)</f>
        <v>908.85000000000014</v>
      </c>
      <c r="S24" s="35">
        <f t="shared" si="14"/>
        <v>1346.85</v>
      </c>
      <c r="T24" s="35">
        <f t="shared" si="14"/>
        <v>1349.04</v>
      </c>
      <c r="U24" s="35">
        <f t="shared" si="14"/>
        <v>1640.31</v>
      </c>
      <c r="W24" s="6" t="s">
        <v>13</v>
      </c>
      <c r="X24" s="35">
        <f t="shared" ref="X24:X25" si="15">Q24+J24+B24</f>
        <v>1894.2922342311676</v>
      </c>
      <c r="Y24" s="35">
        <f t="shared" si="11"/>
        <v>3442.3102380484934</v>
      </c>
      <c r="Z24" s="35">
        <f t="shared" si="11"/>
        <v>4265.5596445370766</v>
      </c>
      <c r="AA24" s="35">
        <f t="shared" si="11"/>
        <v>4379.9041466464214</v>
      </c>
      <c r="AB24" s="35">
        <f t="shared" si="11"/>
        <v>3933.847168943973</v>
      </c>
    </row>
    <row r="25" spans="1:28" s="17" customFormat="1" x14ac:dyDescent="0.35">
      <c r="A25" s="6" t="s">
        <v>14</v>
      </c>
      <c r="B25" s="36">
        <f t="shared" si="12"/>
        <v>591.38855182838972</v>
      </c>
      <c r="C25" s="36">
        <f t="shared" si="12"/>
        <v>424.1271432304614</v>
      </c>
      <c r="D25" s="36">
        <f t="shared" si="12"/>
        <v>713.84779740901604</v>
      </c>
      <c r="E25" s="36">
        <f t="shared" si="12"/>
        <v>1123.0408863003765</v>
      </c>
      <c r="F25" s="36">
        <f t="shared" si="12"/>
        <v>1188.75072539242</v>
      </c>
      <c r="G25" s="37"/>
      <c r="I25" s="6" t="s">
        <v>14</v>
      </c>
      <c r="J25" s="35">
        <f t="shared" si="13"/>
        <v>78.84</v>
      </c>
      <c r="K25" s="35">
        <f t="shared" si="13"/>
        <v>119.9025</v>
      </c>
      <c r="L25" s="35">
        <f t="shared" si="13"/>
        <v>131.4</v>
      </c>
      <c r="M25" s="35">
        <f t="shared" si="13"/>
        <v>318.64500000000004</v>
      </c>
      <c r="N25" s="35">
        <f t="shared" si="13"/>
        <v>417.19499999999999</v>
      </c>
      <c r="P25" s="6" t="s">
        <v>14</v>
      </c>
      <c r="Q25" s="35">
        <f>365*B8*$K$7*($K$4/365)</f>
        <v>105.11999999999999</v>
      </c>
      <c r="R25" s="35">
        <f t="shared" ref="R25:U25" si="16">365*C8*$K$7*($K$4/365)</f>
        <v>159.86999999999998</v>
      </c>
      <c r="S25" s="35">
        <f t="shared" si="16"/>
        <v>175.2</v>
      </c>
      <c r="T25" s="35">
        <f t="shared" si="16"/>
        <v>424.86</v>
      </c>
      <c r="U25" s="35">
        <f t="shared" si="16"/>
        <v>556.26</v>
      </c>
      <c r="W25" s="6" t="s">
        <v>14</v>
      </c>
      <c r="X25" s="35">
        <f t="shared" si="15"/>
        <v>775.34855182838965</v>
      </c>
      <c r="Y25" s="35">
        <f t="shared" si="11"/>
        <v>703.89964323046138</v>
      </c>
      <c r="Z25" s="35">
        <f t="shared" si="11"/>
        <v>1020.4477974090161</v>
      </c>
      <c r="AA25" s="35">
        <f t="shared" si="11"/>
        <v>1866.5458863003767</v>
      </c>
      <c r="AB25" s="35">
        <f t="shared" si="11"/>
        <v>2162.2057253924199</v>
      </c>
    </row>
    <row r="26" spans="1:28" s="17" customFormat="1" x14ac:dyDescent="0.35">
      <c r="A26" s="3"/>
      <c r="B26" s="28"/>
      <c r="C26" s="28"/>
      <c r="D26" s="28"/>
      <c r="E26" s="28"/>
      <c r="F26" s="28"/>
      <c r="G26" s="29"/>
      <c r="I26" s="3"/>
      <c r="J26" s="26"/>
      <c r="K26" s="26"/>
      <c r="L26" s="26"/>
      <c r="M26" s="26"/>
      <c r="N26" s="26"/>
      <c r="P26" s="3"/>
      <c r="Q26" s="26"/>
      <c r="R26" s="26"/>
      <c r="S26" s="26"/>
      <c r="T26" s="26"/>
      <c r="U26" s="26"/>
      <c r="W26" s="3"/>
      <c r="X26" s="26"/>
      <c r="Y26" s="26"/>
      <c r="Z26" s="26"/>
      <c r="AA26" s="26"/>
      <c r="AB26" s="26"/>
    </row>
    <row r="27" spans="1:28" s="31" customFormat="1" x14ac:dyDescent="0.35">
      <c r="A27" s="30" t="s">
        <v>34</v>
      </c>
    </row>
    <row r="28" spans="1:28" s="17" customFormat="1" x14ac:dyDescent="0.35">
      <c r="A28" s="3" t="s">
        <v>35</v>
      </c>
      <c r="B28" s="28"/>
      <c r="C28" s="28"/>
      <c r="D28" s="28"/>
      <c r="E28" s="28" t="s">
        <v>55</v>
      </c>
      <c r="G28" s="29"/>
      <c r="I28" s="3" t="s">
        <v>56</v>
      </c>
      <c r="J28" s="26"/>
      <c r="K28" s="26"/>
      <c r="L28" s="26"/>
      <c r="M28" s="26"/>
      <c r="N28" s="26"/>
      <c r="P28" s="3"/>
      <c r="Q28" s="26"/>
      <c r="R28" s="26"/>
      <c r="S28" s="26"/>
      <c r="T28" s="26"/>
      <c r="U28" s="26"/>
      <c r="W28" s="3"/>
      <c r="X28" s="26"/>
      <c r="Y28" s="26"/>
      <c r="Z28" s="26"/>
      <c r="AA28" s="26"/>
      <c r="AB28" s="26"/>
    </row>
    <row r="29" spans="1:28" s="17" customFormat="1" x14ac:dyDescent="0.35">
      <c r="A29" s="3"/>
      <c r="B29" s="8" t="s">
        <v>0</v>
      </c>
      <c r="C29" s="8" t="s">
        <v>1</v>
      </c>
      <c r="D29" s="8" t="s">
        <v>2</v>
      </c>
      <c r="E29" s="8" t="s">
        <v>3</v>
      </c>
      <c r="F29" s="8" t="s">
        <v>4</v>
      </c>
      <c r="G29" s="29"/>
      <c r="I29" s="3"/>
      <c r="J29" s="8" t="s">
        <v>0</v>
      </c>
      <c r="K29" s="8" t="s">
        <v>1</v>
      </c>
      <c r="L29" s="8" t="s">
        <v>2</v>
      </c>
      <c r="M29" s="8" t="s">
        <v>3</v>
      </c>
      <c r="N29" s="8" t="s">
        <v>4</v>
      </c>
      <c r="O29" s="15" t="s">
        <v>57</v>
      </c>
      <c r="P29" s="3"/>
      <c r="Q29" s="26"/>
      <c r="R29" s="26"/>
      <c r="S29" s="26"/>
      <c r="T29" s="26"/>
      <c r="U29" s="26"/>
      <c r="W29" s="3"/>
      <c r="X29" s="26"/>
      <c r="Y29" s="26"/>
      <c r="Z29" s="26"/>
      <c r="AA29" s="26"/>
      <c r="AB29" s="26"/>
    </row>
    <row r="30" spans="1:28" s="17" customFormat="1" x14ac:dyDescent="0.35">
      <c r="A30" s="6" t="s">
        <v>12</v>
      </c>
      <c r="B30" s="36">
        <f>B2*365*$K$3</f>
        <v>2460.538</v>
      </c>
      <c r="C30" s="36">
        <f t="shared" ref="C30:F30" si="17">C2*365*$K$3</f>
        <v>1568.0035</v>
      </c>
      <c r="D30" s="36">
        <f t="shared" si="17"/>
        <v>1224.721</v>
      </c>
      <c r="E30" s="36">
        <f t="shared" si="17"/>
        <v>819.02350000000013</v>
      </c>
      <c r="F30" s="36">
        <f t="shared" si="17"/>
        <v>233.01599999999996</v>
      </c>
      <c r="G30" s="29"/>
      <c r="I30" s="6" t="s">
        <v>12</v>
      </c>
      <c r="J30" s="36">
        <f>X23+B30</f>
        <v>18143.041985738466</v>
      </c>
      <c r="K30" s="36">
        <f t="shared" ref="K30:N32" si="18">Y23+C30</f>
        <v>12168.739442347458</v>
      </c>
      <c r="L30" s="36">
        <f t="shared" si="18"/>
        <v>9563.9785164733985</v>
      </c>
      <c r="M30" s="36">
        <f t="shared" si="18"/>
        <v>6384.616182001414</v>
      </c>
      <c r="N30" s="36">
        <f t="shared" si="18"/>
        <v>2861.8140796512475</v>
      </c>
      <c r="O30" s="35">
        <f>SUM(J30:N30)*O1</f>
        <v>491221.90206211986</v>
      </c>
      <c r="P30" s="3"/>
      <c r="Q30" s="26"/>
      <c r="R30" s="26"/>
      <c r="S30" s="26"/>
      <c r="T30" s="26"/>
      <c r="U30" s="26"/>
      <c r="W30" s="3"/>
      <c r="X30" s="26"/>
      <c r="Y30" s="26"/>
      <c r="Z30" s="26"/>
      <c r="AA30" s="26"/>
      <c r="AB30" s="26"/>
    </row>
    <row r="31" spans="1:28" s="17" customFormat="1" x14ac:dyDescent="0.35">
      <c r="A31" s="6" t="s">
        <v>13</v>
      </c>
      <c r="B31" s="36">
        <f>B5*365*$K$3</f>
        <v>171.988</v>
      </c>
      <c r="C31" s="36">
        <f t="shared" ref="C31:F31" si="19">C5*365*$K$3</f>
        <v>287.80250000000007</v>
      </c>
      <c r="D31" s="36">
        <f t="shared" si="19"/>
        <v>426.5025</v>
      </c>
      <c r="E31" s="36">
        <f t="shared" si="19"/>
        <v>427.19600000000003</v>
      </c>
      <c r="F31" s="36">
        <f t="shared" si="19"/>
        <v>519.43150000000003</v>
      </c>
      <c r="G31" s="29"/>
      <c r="I31" s="6" t="s">
        <v>13</v>
      </c>
      <c r="J31" s="36">
        <f t="shared" ref="J31" si="20">X24+B31</f>
        <v>2066.2802342311675</v>
      </c>
      <c r="K31" s="36">
        <f t="shared" si="18"/>
        <v>3730.1127380484936</v>
      </c>
      <c r="L31" s="36">
        <f t="shared" si="18"/>
        <v>4692.0621445370762</v>
      </c>
      <c r="M31" s="36">
        <f t="shared" si="18"/>
        <v>4807.1001466464213</v>
      </c>
      <c r="N31" s="36">
        <f t="shared" si="18"/>
        <v>4453.2786689439727</v>
      </c>
      <c r="O31" s="35">
        <f t="shared" ref="O31:O32" si="21">SUM(J31:N31)*O2</f>
        <v>394976.67864814273</v>
      </c>
      <c r="P31" s="3"/>
      <c r="Q31" s="26"/>
      <c r="R31" s="26"/>
      <c r="S31" s="26"/>
      <c r="T31" s="26"/>
      <c r="U31" s="26"/>
      <c r="W31" s="3"/>
      <c r="X31" s="26"/>
      <c r="Y31" s="26"/>
      <c r="Z31" s="26"/>
      <c r="AA31" s="26"/>
      <c r="AB31" s="26"/>
    </row>
    <row r="32" spans="1:28" s="17" customFormat="1" x14ac:dyDescent="0.35">
      <c r="A32" s="6" t="s">
        <v>14</v>
      </c>
      <c r="B32" s="36">
        <f>B8*365*$K$3</f>
        <v>33.287999999999997</v>
      </c>
      <c r="C32" s="36">
        <f t="shared" ref="C32:E32" si="22">C8*365*$K$3</f>
        <v>50.625499999999995</v>
      </c>
      <c r="D32" s="36">
        <f t="shared" si="22"/>
        <v>55.480000000000004</v>
      </c>
      <c r="E32" s="36">
        <f t="shared" si="22"/>
        <v>134.53900000000002</v>
      </c>
      <c r="F32" s="36">
        <f>F8*365*$K$3</f>
        <v>176.149</v>
      </c>
      <c r="G32" s="29"/>
      <c r="I32" s="6" t="s">
        <v>14</v>
      </c>
      <c r="J32" s="36">
        <f>X25+B32</f>
        <v>808.63655182838966</v>
      </c>
      <c r="K32" s="36">
        <f t="shared" si="18"/>
        <v>754.52514323046137</v>
      </c>
      <c r="L32" s="36">
        <f t="shared" si="18"/>
        <v>1075.927797409016</v>
      </c>
      <c r="M32" s="36">
        <f t="shared" si="18"/>
        <v>2001.0848863003766</v>
      </c>
      <c r="N32" s="36">
        <f t="shared" si="18"/>
        <v>2338.3547253924198</v>
      </c>
      <c r="O32" s="35">
        <f t="shared" si="21"/>
        <v>488497.03729124641</v>
      </c>
      <c r="P32" s="3"/>
      <c r="Q32" s="26"/>
      <c r="R32" s="26"/>
      <c r="S32" s="26"/>
      <c r="T32" s="26"/>
      <c r="U32" s="26"/>
      <c r="W32" s="3"/>
      <c r="X32" s="26"/>
      <c r="Y32" s="26"/>
      <c r="Z32" s="26"/>
      <c r="AA32" s="26"/>
      <c r="AB32" s="26"/>
    </row>
    <row r="33" spans="1:28" s="17" customFormat="1" x14ac:dyDescent="0.35">
      <c r="A33" s="3"/>
      <c r="B33" s="28"/>
      <c r="C33" s="28"/>
      <c r="D33" s="28"/>
      <c r="E33" s="28"/>
      <c r="F33" s="28"/>
      <c r="G33" s="29"/>
      <c r="I33" s="3"/>
      <c r="J33" s="26"/>
      <c r="K33" s="26"/>
      <c r="L33" s="26"/>
      <c r="M33" s="26"/>
      <c r="N33" s="44" t="s">
        <v>61</v>
      </c>
      <c r="O33" s="54">
        <f>SUM(O30:O32)</f>
        <v>1374695.618001509</v>
      </c>
      <c r="P33" s="3"/>
      <c r="Q33" s="26"/>
      <c r="R33" s="26"/>
      <c r="S33" s="26"/>
      <c r="T33" s="26"/>
      <c r="U33" s="26"/>
      <c r="W33" s="3"/>
      <c r="X33" s="26"/>
      <c r="Y33" s="26"/>
      <c r="Z33" s="26"/>
      <c r="AA33" s="26"/>
      <c r="AB33" s="26"/>
    </row>
    <row r="34" spans="1:28" s="17" customFormat="1" x14ac:dyDescent="0.35">
      <c r="A34" s="3"/>
      <c r="B34" s="28"/>
      <c r="C34" s="28"/>
      <c r="D34" s="28"/>
      <c r="E34" s="28"/>
      <c r="F34" s="28"/>
      <c r="G34" s="29"/>
      <c r="I34" s="3"/>
      <c r="J34" s="26"/>
      <c r="K34" s="26"/>
      <c r="L34" s="26"/>
      <c r="M34" s="26"/>
      <c r="N34" s="26"/>
      <c r="P34" s="3"/>
      <c r="Q34" s="26"/>
      <c r="R34" s="26"/>
      <c r="S34" s="26"/>
      <c r="T34" s="26"/>
      <c r="U34" s="26"/>
      <c r="W34" s="3"/>
      <c r="X34" s="26"/>
      <c r="Y34" s="26"/>
      <c r="Z34" s="26"/>
      <c r="AA34" s="26"/>
      <c r="AB34" s="26"/>
    </row>
    <row r="35" spans="1:28" s="17" customFormat="1" x14ac:dyDescent="0.35">
      <c r="A35" s="3"/>
    </row>
    <row r="36" spans="1:28" s="33" customFormat="1" x14ac:dyDescent="0.35">
      <c r="A36" s="32" t="s">
        <v>32</v>
      </c>
    </row>
    <row r="37" spans="1:28" s="17" customFormat="1" x14ac:dyDescent="0.35">
      <c r="A37" s="3"/>
    </row>
    <row r="38" spans="1:28" ht="21" x14ac:dyDescent="0.55000000000000004">
      <c r="A38" s="3" t="s">
        <v>27</v>
      </c>
      <c r="B38" t="s">
        <v>28</v>
      </c>
    </row>
    <row r="39" spans="1:28" x14ac:dyDescent="0.35">
      <c r="A39" s="13" t="s">
        <v>12</v>
      </c>
      <c r="B39" s="8" t="s">
        <v>0</v>
      </c>
      <c r="C39" s="8" t="s">
        <v>1</v>
      </c>
      <c r="D39" s="8" t="s">
        <v>2</v>
      </c>
      <c r="E39" s="8" t="s">
        <v>3</v>
      </c>
      <c r="F39" s="8" t="s">
        <v>4</v>
      </c>
      <c r="H39" s="14" t="s">
        <v>13</v>
      </c>
      <c r="I39" s="8" t="s">
        <v>0</v>
      </c>
      <c r="J39" s="8" t="s">
        <v>1</v>
      </c>
      <c r="K39" s="8" t="s">
        <v>2</v>
      </c>
      <c r="L39" s="8" t="s">
        <v>3</v>
      </c>
      <c r="M39" s="8" t="s">
        <v>4</v>
      </c>
      <c r="O39" s="14" t="s">
        <v>14</v>
      </c>
      <c r="P39" s="8" t="s">
        <v>0</v>
      </c>
      <c r="Q39" s="8" t="s">
        <v>1</v>
      </c>
      <c r="R39" s="8" t="s">
        <v>2</v>
      </c>
      <c r="S39" s="8" t="s">
        <v>3</v>
      </c>
      <c r="T39" s="8" t="s">
        <v>4</v>
      </c>
    </row>
    <row r="40" spans="1:28" x14ac:dyDescent="0.35">
      <c r="A40" s="5" t="s">
        <v>0</v>
      </c>
      <c r="B40" s="4"/>
      <c r="C40" s="4">
        <f>$H$9*$B$3*C3</f>
        <v>22.615200000000002</v>
      </c>
      <c r="D40" s="4">
        <f>$H$9*$B$3*D3</f>
        <v>18.357400000000002</v>
      </c>
      <c r="E40" s="4">
        <f>$H$9*$B$3*E3</f>
        <v>12.145200000000001</v>
      </c>
      <c r="F40" s="4">
        <f>$H$9*$B$3*F3</f>
        <v>15.670100000000001</v>
      </c>
      <c r="H40" s="5" t="s">
        <v>0</v>
      </c>
      <c r="I40" s="4"/>
      <c r="J40" s="4">
        <v>0</v>
      </c>
      <c r="K40" s="4">
        <v>0</v>
      </c>
      <c r="L40" s="4">
        <v>0</v>
      </c>
      <c r="M40" s="4">
        <v>0</v>
      </c>
      <c r="O40" s="5" t="s">
        <v>0</v>
      </c>
      <c r="P40" s="4"/>
      <c r="Q40" s="4">
        <v>0</v>
      </c>
      <c r="R40" s="4">
        <v>0</v>
      </c>
      <c r="S40" s="4">
        <v>0</v>
      </c>
      <c r="T40" s="4">
        <v>0</v>
      </c>
    </row>
    <row r="41" spans="1:28" x14ac:dyDescent="0.35">
      <c r="A41" s="5" t="s">
        <v>1</v>
      </c>
      <c r="B41" s="4"/>
      <c r="C41" s="4"/>
      <c r="D41" s="4">
        <f>$H$9*$C$3*D3</f>
        <v>17.042400000000001</v>
      </c>
      <c r="E41" s="4">
        <f t="shared" ref="E41:F41" si="23">$H$9*$C$3*E3</f>
        <v>11.2752</v>
      </c>
      <c r="F41" s="4">
        <f t="shared" si="23"/>
        <v>14.547600000000001</v>
      </c>
      <c r="H41" s="5" t="s">
        <v>1</v>
      </c>
      <c r="I41" s="4"/>
      <c r="J41" s="4">
        <v>0</v>
      </c>
      <c r="K41" s="4">
        <v>0</v>
      </c>
      <c r="L41" s="4">
        <v>0</v>
      </c>
      <c r="M41" s="4">
        <v>0</v>
      </c>
      <c r="O41" s="5" t="s">
        <v>1</v>
      </c>
      <c r="P41" s="4"/>
      <c r="Q41" s="4">
        <v>0</v>
      </c>
      <c r="R41" s="4">
        <v>0</v>
      </c>
      <c r="S41" s="4">
        <v>0</v>
      </c>
      <c r="T41" s="4">
        <v>0</v>
      </c>
    </row>
    <row r="42" spans="1:28" x14ac:dyDescent="0.35">
      <c r="A42" s="5" t="s">
        <v>2</v>
      </c>
      <c r="B42" s="4"/>
      <c r="C42" s="4"/>
      <c r="D42" s="4"/>
      <c r="E42" s="4">
        <f>$H$9*$D$3*E3</f>
        <v>9.1524000000000001</v>
      </c>
      <c r="F42" s="4">
        <f>$H$9*$D$3*F3</f>
        <v>11.8087</v>
      </c>
      <c r="H42" s="5" t="s">
        <v>2</v>
      </c>
      <c r="I42" s="4"/>
      <c r="J42" s="4">
        <v>0</v>
      </c>
      <c r="K42" s="4">
        <v>0</v>
      </c>
      <c r="L42" s="4">
        <v>0</v>
      </c>
      <c r="M42" s="4">
        <v>0</v>
      </c>
      <c r="O42" s="5" t="s">
        <v>2</v>
      </c>
      <c r="P42" s="4"/>
      <c r="Q42" s="4">
        <v>0</v>
      </c>
      <c r="R42" s="4">
        <v>0</v>
      </c>
      <c r="S42" s="4">
        <v>0</v>
      </c>
      <c r="T42" s="4">
        <v>0</v>
      </c>
    </row>
    <row r="43" spans="1:28" x14ac:dyDescent="0.35">
      <c r="A43" s="5" t="s">
        <v>3</v>
      </c>
      <c r="B43" s="4"/>
      <c r="C43" s="4"/>
      <c r="D43" s="4"/>
      <c r="E43" s="4"/>
      <c r="F43" s="4">
        <f>$H$9*E3*F3</f>
        <v>7.8126000000000007</v>
      </c>
      <c r="H43" s="5" t="s">
        <v>3</v>
      </c>
      <c r="I43" s="4"/>
      <c r="J43" s="4">
        <v>0</v>
      </c>
      <c r="K43" s="4">
        <v>0</v>
      </c>
      <c r="L43" s="4">
        <v>0</v>
      </c>
      <c r="M43" s="4">
        <v>0</v>
      </c>
      <c r="O43" s="5" t="s">
        <v>3</v>
      </c>
      <c r="P43" s="4"/>
      <c r="Q43" s="4">
        <v>0</v>
      </c>
      <c r="R43" s="4">
        <v>0</v>
      </c>
      <c r="S43" s="4">
        <v>0</v>
      </c>
      <c r="T43" s="4">
        <v>0</v>
      </c>
    </row>
    <row r="44" spans="1:28" x14ac:dyDescent="0.35">
      <c r="A44" s="5" t="s">
        <v>4</v>
      </c>
      <c r="B44" s="4"/>
      <c r="C44" s="4"/>
      <c r="D44" s="4"/>
      <c r="E44" s="4"/>
      <c r="F44" s="4"/>
      <c r="H44" s="5" t="s">
        <v>4</v>
      </c>
      <c r="I44" s="4"/>
      <c r="J44" s="4"/>
      <c r="K44" s="4"/>
      <c r="L44" s="4"/>
      <c r="M44" s="4"/>
      <c r="O44" s="5" t="s">
        <v>4</v>
      </c>
      <c r="P44" s="4"/>
      <c r="Q44" s="4"/>
      <c r="R44" s="4"/>
      <c r="S44" s="4"/>
      <c r="T44" s="4"/>
    </row>
    <row r="46" spans="1:28" x14ac:dyDescent="0.35">
      <c r="A46" s="8" t="s">
        <v>11</v>
      </c>
      <c r="B46" s="15" t="s">
        <v>70</v>
      </c>
      <c r="C46" s="15" t="s">
        <v>63</v>
      </c>
    </row>
    <row r="47" spans="1:28" x14ac:dyDescent="0.35">
      <c r="A47" s="15" t="s">
        <v>12</v>
      </c>
      <c r="B47" s="4">
        <f>SQRT(SUM(B4:F4)+(2*SUM(B40:F44)))</f>
        <v>20.772638253240729</v>
      </c>
      <c r="C47" s="4">
        <f>SUM(B2:F2)</f>
        <v>90.92</v>
      </c>
    </row>
    <row r="48" spans="1:28" x14ac:dyDescent="0.35">
      <c r="A48" s="16" t="s">
        <v>13</v>
      </c>
      <c r="B48" s="4">
        <v>0</v>
      </c>
      <c r="C48" s="4">
        <v>0</v>
      </c>
    </row>
    <row r="49" spans="1:10" x14ac:dyDescent="0.35">
      <c r="A49" s="16" t="s">
        <v>14</v>
      </c>
      <c r="B49" s="4">
        <v>0</v>
      </c>
      <c r="C49" s="4">
        <v>0</v>
      </c>
    </row>
    <row r="51" spans="1:10" ht="19" x14ac:dyDescent="0.45">
      <c r="A51" s="3" t="s">
        <v>19</v>
      </c>
      <c r="B51" s="17"/>
      <c r="C51" s="17" t="s">
        <v>26</v>
      </c>
      <c r="D51" s="18" t="s">
        <v>30</v>
      </c>
      <c r="E51" s="17"/>
      <c r="F51" s="17" t="s">
        <v>39</v>
      </c>
      <c r="G51" s="17"/>
      <c r="H51" s="18" t="s">
        <v>86</v>
      </c>
      <c r="I51" s="17"/>
      <c r="J51" s="17" t="s">
        <v>42</v>
      </c>
    </row>
    <row r="52" spans="1:10" ht="43.5" x14ac:dyDescent="0.35">
      <c r="A52" s="3"/>
      <c r="B52" s="8" t="s">
        <v>64</v>
      </c>
      <c r="D52" s="17"/>
      <c r="E52" s="8" t="s">
        <v>65</v>
      </c>
      <c r="H52" s="8" t="s">
        <v>75</v>
      </c>
      <c r="I52" s="8" t="s">
        <v>87</v>
      </c>
    </row>
    <row r="53" spans="1:10" x14ac:dyDescent="0.35">
      <c r="A53" s="6" t="s">
        <v>12</v>
      </c>
      <c r="B53" s="4">
        <f>_xlfn.NORM.S.INV(0.95)*SQRT(SUM($K$5:$K$6))*B47</f>
        <v>113.32226792342648</v>
      </c>
      <c r="D53" s="6" t="s">
        <v>12</v>
      </c>
      <c r="E53" s="22">
        <f>((C47*$K$5))/2</f>
        <v>272.76</v>
      </c>
      <c r="H53" s="6" t="s">
        <v>12</v>
      </c>
      <c r="I53" s="35">
        <f>365*C47*$P$7*($K$4/365)</f>
        <v>14933.61</v>
      </c>
    </row>
    <row r="54" spans="1:10" x14ac:dyDescent="0.35">
      <c r="A54" s="6" t="s">
        <v>13</v>
      </c>
      <c r="B54" s="4">
        <f t="shared" ref="B54:B55" si="24">_xlfn.NORM.S.INV(0.95)*SQRT(SUM($K$5:$K$6))*B48</f>
        <v>0</v>
      </c>
      <c r="D54" s="6" t="s">
        <v>13</v>
      </c>
      <c r="E54" s="22">
        <f>(($K$5*C48))/2</f>
        <v>0</v>
      </c>
      <c r="H54" s="6" t="s">
        <v>13</v>
      </c>
      <c r="I54" s="35">
        <f t="shared" ref="I54:I55" si="25">365*C48*$P$7*($K$4/365)</f>
        <v>0</v>
      </c>
    </row>
    <row r="55" spans="1:10" x14ac:dyDescent="0.35">
      <c r="A55" s="6" t="s">
        <v>14</v>
      </c>
      <c r="B55" s="4">
        <f t="shared" si="24"/>
        <v>0</v>
      </c>
      <c r="D55" s="6" t="s">
        <v>14</v>
      </c>
      <c r="E55" s="22">
        <f>(($K$5*C49))/2</f>
        <v>0</v>
      </c>
      <c r="H55" s="6" t="s">
        <v>14</v>
      </c>
      <c r="I55" s="35">
        <f t="shared" si="25"/>
        <v>0</v>
      </c>
    </row>
    <row r="56" spans="1:10" x14ac:dyDescent="0.35">
      <c r="D56" s="3"/>
      <c r="E56" s="26"/>
      <c r="F56" s="26"/>
      <c r="G56" s="26"/>
      <c r="H56" s="26"/>
      <c r="I56" s="26"/>
    </row>
    <row r="57" spans="1:10" x14ac:dyDescent="0.35">
      <c r="A57" s="13" t="s">
        <v>76</v>
      </c>
      <c r="B57" s="13" t="s">
        <v>51</v>
      </c>
      <c r="D57" s="3"/>
      <c r="E57" s="45" t="s">
        <v>76</v>
      </c>
      <c r="F57" s="47" t="s">
        <v>47</v>
      </c>
      <c r="G57" s="26"/>
      <c r="H57" s="47" t="s">
        <v>77</v>
      </c>
      <c r="I57" s="26"/>
    </row>
    <row r="58" spans="1:10" x14ac:dyDescent="0.35">
      <c r="A58" s="6" t="s">
        <v>12</v>
      </c>
      <c r="B58" s="36">
        <f>C47*365*$K$12</f>
        <v>9623.8819999999996</v>
      </c>
      <c r="E58" s="6" t="s">
        <v>12</v>
      </c>
      <c r="F58" s="36">
        <f>(SUM(B53,E53)*$K$4) + I53</f>
        <v>36071.614168807602</v>
      </c>
      <c r="H58" s="36">
        <f>SUM(B58,F58)*O1</f>
        <v>456954.96168807603</v>
      </c>
    </row>
    <row r="59" spans="1:10" x14ac:dyDescent="0.35">
      <c r="A59" s="6" t="s">
        <v>13</v>
      </c>
      <c r="B59" s="36">
        <f>SUM(B31:F31)</f>
        <v>1832.9205000000002</v>
      </c>
      <c r="E59" s="6" t="s">
        <v>13</v>
      </c>
      <c r="F59" s="36">
        <f>SUM(X24:AB24)</f>
        <v>17915.913432407131</v>
      </c>
      <c r="H59" s="36">
        <f t="shared" ref="H59" si="26">SUM(B59,F59)*O2</f>
        <v>394976.67864814261</v>
      </c>
    </row>
    <row r="60" spans="1:10" x14ac:dyDescent="0.35">
      <c r="A60" s="6" t="s">
        <v>14</v>
      </c>
      <c r="B60" s="36">
        <f>SUM(B32:F32)</f>
        <v>450.08150000000001</v>
      </c>
      <c r="E60" s="6" t="s">
        <v>14</v>
      </c>
      <c r="F60" s="36">
        <f>SUM(X25:AB25)</f>
        <v>6528.4476041606631</v>
      </c>
      <c r="H60" s="36">
        <f>SUM(B60,F60)*O3</f>
        <v>488497.03729124641</v>
      </c>
    </row>
    <row r="61" spans="1:10" x14ac:dyDescent="0.35">
      <c r="G61" s="21" t="s">
        <v>66</v>
      </c>
      <c r="H61" s="54">
        <f>SUM(H58:H60)</f>
        <v>1340428.677627465</v>
      </c>
    </row>
    <row r="62" spans="1:10" ht="15" customHeight="1" x14ac:dyDescent="0.35">
      <c r="G62" s="21"/>
      <c r="H62" s="53"/>
    </row>
    <row r="63" spans="1:10" x14ac:dyDescent="0.35">
      <c r="G63" s="21"/>
      <c r="H63" s="53"/>
    </row>
    <row r="64" spans="1:10" x14ac:dyDescent="0.35">
      <c r="A64" s="13" t="s">
        <v>78</v>
      </c>
      <c r="B64" s="45" t="s">
        <v>79</v>
      </c>
      <c r="H64" s="34"/>
    </row>
    <row r="65" spans="1:5" x14ac:dyDescent="0.35">
      <c r="A65">
        <f>C47*365*O1</f>
        <v>331858</v>
      </c>
    </row>
    <row r="66" spans="1:5" x14ac:dyDescent="0.35">
      <c r="A66">
        <f t="shared" ref="A66:A67" si="27">C48*365*O2</f>
        <v>0</v>
      </c>
    </row>
    <row r="67" spans="1:5" x14ac:dyDescent="0.35">
      <c r="A67">
        <f t="shared" si="27"/>
        <v>0</v>
      </c>
    </row>
    <row r="68" spans="1:5" x14ac:dyDescent="0.35">
      <c r="A68" s="48">
        <f>SUM(A65:A67)</f>
        <v>331858</v>
      </c>
      <c r="E68" s="40"/>
    </row>
    <row r="69" spans="1:5" x14ac:dyDescent="0.35">
      <c r="A69" s="4">
        <f>A68/1000</f>
        <v>331.858</v>
      </c>
      <c r="B69" s="49">
        <f xml:space="preserve"> -0.0009*(A69^3) + 0.3998*(A69^2) + 2000.5*(A69) + 396.83</f>
        <v>675415.93652833451</v>
      </c>
    </row>
    <row r="71" spans="1:5" x14ac:dyDescent="0.35">
      <c r="A71" s="40" t="s">
        <v>80</v>
      </c>
      <c r="D71" s="40"/>
    </row>
    <row r="72" spans="1:5" x14ac:dyDescent="0.35">
      <c r="A72" s="48" t="s">
        <v>81</v>
      </c>
      <c r="B72" s="48" t="s">
        <v>84</v>
      </c>
      <c r="D72" s="48" t="s">
        <v>88</v>
      </c>
      <c r="E72" s="40"/>
    </row>
    <row r="73" spans="1:5" x14ac:dyDescent="0.35">
      <c r="A73" s="4">
        <v>0</v>
      </c>
      <c r="B73" s="55">
        <f>PMT($O$5,3,$B$69)</f>
        <v>-281208.73662721668</v>
      </c>
      <c r="D73" s="52">
        <f>O33-H61</f>
        <v>34266.940374044003</v>
      </c>
      <c r="E73" s="50"/>
    </row>
    <row r="74" spans="1:5" x14ac:dyDescent="0.35">
      <c r="A74" s="4">
        <v>1</v>
      </c>
      <c r="B74" s="55">
        <f t="shared" ref="B74:B75" si="28">PMT($O$5,3,$B$69)</f>
        <v>-281208.73662721668</v>
      </c>
      <c r="E74" s="50"/>
    </row>
    <row r="75" spans="1:5" x14ac:dyDescent="0.35">
      <c r="A75" s="4">
        <v>2</v>
      </c>
      <c r="B75" s="55">
        <f t="shared" si="28"/>
        <v>-281208.73662721668</v>
      </c>
      <c r="D75" t="s">
        <v>89</v>
      </c>
      <c r="E75" s="50"/>
    </row>
    <row r="76" spans="1:5" x14ac:dyDescent="0.35">
      <c r="A76" s="4">
        <v>3</v>
      </c>
      <c r="B76" s="55">
        <v>0</v>
      </c>
      <c r="D76">
        <f>B77/D73</f>
        <v>-22.075675290949835</v>
      </c>
      <c r="E76" s="50"/>
    </row>
    <row r="77" spans="1:5" x14ac:dyDescent="0.35">
      <c r="A77" s="56" t="s">
        <v>82</v>
      </c>
      <c r="B77" s="55">
        <f>NPV(O5, B74:B76)+B73</f>
        <v>-756465.84891173453</v>
      </c>
      <c r="E77" s="34"/>
    </row>
    <row r="78" spans="1:5" x14ac:dyDescent="0.35">
      <c r="D78" t="s">
        <v>90</v>
      </c>
      <c r="E78" s="50"/>
    </row>
    <row r="79" spans="1:5" x14ac:dyDescent="0.35">
      <c r="E79" s="50"/>
    </row>
    <row r="80" spans="1:5" x14ac:dyDescent="0.35">
      <c r="D80" s="51"/>
      <c r="E80" s="50"/>
    </row>
  </sheetData>
  <pageMargins left="0.7" right="0.7" top="0.75" bottom="0.75" header="0.3" footer="0.3"/>
  <pageSetup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3"/>
  <sheetViews>
    <sheetView topLeftCell="A61" zoomScaleNormal="100" workbookViewId="0">
      <selection activeCell="H10" sqref="H10"/>
    </sheetView>
  </sheetViews>
  <sheetFormatPr defaultRowHeight="14.5" x14ac:dyDescent="0.35"/>
  <cols>
    <col min="1" max="1" width="18.54296875" customWidth="1"/>
    <col min="2" max="2" width="13.90625" bestFit="1" customWidth="1"/>
    <col min="3" max="3" width="11.36328125" customWidth="1"/>
    <col min="4" max="4" width="12.6328125" customWidth="1"/>
    <col min="5" max="5" width="16.81640625" customWidth="1"/>
    <col min="6" max="6" width="16.90625" customWidth="1"/>
    <col min="7" max="7" width="13.453125" customWidth="1"/>
    <col min="8" max="8" width="14.90625" bestFit="1" customWidth="1"/>
    <col min="9" max="9" width="11.08984375" bestFit="1" customWidth="1"/>
    <col min="10" max="12" width="12.1796875" bestFit="1" customWidth="1"/>
    <col min="13" max="13" width="15.453125" customWidth="1"/>
    <col min="14" max="14" width="12.1796875" bestFit="1" customWidth="1"/>
    <col min="15" max="15" width="14.90625" bestFit="1" customWidth="1"/>
    <col min="17" max="17" width="12.1796875" bestFit="1" customWidth="1"/>
    <col min="18" max="18" width="14.1796875" customWidth="1"/>
    <col min="19" max="19" width="14.08984375" customWidth="1"/>
    <col min="20" max="20" width="13" customWidth="1"/>
    <col min="21" max="21" width="13.6328125" customWidth="1"/>
    <col min="24" max="28" width="12.1796875" bestFit="1" customWidth="1"/>
    <col min="30" max="30" width="10.1796875" bestFit="1" customWidth="1"/>
  </cols>
  <sheetData>
    <row r="1" spans="1:30" ht="15" thickBot="1" x14ac:dyDescent="0.4">
      <c r="A1" s="1"/>
      <c r="B1" s="8" t="s">
        <v>0</v>
      </c>
      <c r="C1" s="8" t="s">
        <v>1</v>
      </c>
      <c r="D1" s="8" t="s">
        <v>2</v>
      </c>
      <c r="E1" s="8" t="s">
        <v>3</v>
      </c>
      <c r="F1" s="8" t="s">
        <v>4</v>
      </c>
      <c r="I1" s="41" t="s">
        <v>49</v>
      </c>
      <c r="J1" t="s">
        <v>52</v>
      </c>
      <c r="K1" s="34">
        <v>0.09</v>
      </c>
      <c r="L1" s="43" t="s">
        <v>54</v>
      </c>
      <c r="N1" s="21" t="s">
        <v>58</v>
      </c>
      <c r="O1">
        <v>10</v>
      </c>
    </row>
    <row r="2" spans="1:30" ht="15" thickBot="1" x14ac:dyDescent="0.4">
      <c r="A2" s="9" t="s">
        <v>5</v>
      </c>
      <c r="B2" s="2">
        <v>35.479999999999997</v>
      </c>
      <c r="C2" s="2">
        <v>22.61</v>
      </c>
      <c r="D2" s="2">
        <v>17.66</v>
      </c>
      <c r="E2" s="2">
        <v>11.81</v>
      </c>
      <c r="F2" s="2">
        <v>3.36</v>
      </c>
      <c r="I2" s="21" t="s">
        <v>50</v>
      </c>
      <c r="J2" t="s">
        <v>53</v>
      </c>
      <c r="K2" s="34">
        <v>0.1</v>
      </c>
      <c r="L2" s="43" t="s">
        <v>54</v>
      </c>
      <c r="N2" s="21" t="s">
        <v>59</v>
      </c>
      <c r="O2">
        <v>20</v>
      </c>
    </row>
    <row r="3" spans="1:30" ht="15" thickBot="1" x14ac:dyDescent="0.4">
      <c r="A3" s="9" t="s">
        <v>6</v>
      </c>
      <c r="B3" s="2">
        <v>6.98</v>
      </c>
      <c r="C3" s="2">
        <v>6.48</v>
      </c>
      <c r="D3" s="2">
        <v>5.26</v>
      </c>
      <c r="E3" s="2">
        <v>3.48</v>
      </c>
      <c r="F3" s="2">
        <v>4.49</v>
      </c>
      <c r="I3" s="21" t="s">
        <v>51</v>
      </c>
      <c r="K3" s="42">
        <f>SUM(K1:K2)</f>
        <v>0.19</v>
      </c>
      <c r="L3" s="43" t="s">
        <v>54</v>
      </c>
      <c r="N3" s="21" t="s">
        <v>60</v>
      </c>
      <c r="O3">
        <v>70</v>
      </c>
    </row>
    <row r="4" spans="1:30" ht="15" thickBot="1" x14ac:dyDescent="0.4">
      <c r="A4" s="9" t="s">
        <v>15</v>
      </c>
      <c r="B4" s="2">
        <f>B3^2</f>
        <v>48.720400000000005</v>
      </c>
      <c r="C4" s="2">
        <f t="shared" ref="C4:F4" si="0">C3^2</f>
        <v>41.990400000000008</v>
      </c>
      <c r="D4" s="2">
        <f t="shared" si="0"/>
        <v>27.667599999999997</v>
      </c>
      <c r="E4" s="2">
        <f t="shared" si="0"/>
        <v>12.1104</v>
      </c>
      <c r="F4" s="2">
        <f t="shared" si="0"/>
        <v>20.160100000000003</v>
      </c>
      <c r="I4" s="21" t="s">
        <v>36</v>
      </c>
      <c r="J4" t="s">
        <v>37</v>
      </c>
      <c r="K4" s="34">
        <f>0.15*365</f>
        <v>54.75</v>
      </c>
      <c r="L4" t="s">
        <v>38</v>
      </c>
      <c r="N4" s="34"/>
    </row>
    <row r="5" spans="1:30" ht="15" thickBot="1" x14ac:dyDescent="0.4">
      <c r="A5" s="9" t="s">
        <v>7</v>
      </c>
      <c r="B5" s="2">
        <v>2.48</v>
      </c>
      <c r="C5" s="2">
        <v>4.1500000000000004</v>
      </c>
      <c r="D5" s="2">
        <v>6.15</v>
      </c>
      <c r="E5" s="2">
        <v>6.16</v>
      </c>
      <c r="F5" s="2">
        <v>7.49</v>
      </c>
      <c r="I5" s="21" t="s">
        <v>21</v>
      </c>
      <c r="J5" t="s">
        <v>24</v>
      </c>
      <c r="K5">
        <v>6</v>
      </c>
      <c r="L5" t="s">
        <v>22</v>
      </c>
      <c r="N5" t="s">
        <v>91</v>
      </c>
      <c r="O5" s="57">
        <v>0.12</v>
      </c>
    </row>
    <row r="6" spans="1:30" ht="25.5" thickBot="1" x14ac:dyDescent="0.55000000000000004">
      <c r="A6" s="9" t="s">
        <v>8</v>
      </c>
      <c r="B6" s="2">
        <v>3.16</v>
      </c>
      <c r="C6" s="2">
        <v>6.2</v>
      </c>
      <c r="D6" s="2">
        <v>6.39</v>
      </c>
      <c r="E6" s="2">
        <v>6.76</v>
      </c>
      <c r="F6" s="2">
        <v>3.56</v>
      </c>
      <c r="I6" s="21" t="s">
        <v>23</v>
      </c>
      <c r="J6" t="s">
        <v>25</v>
      </c>
      <c r="K6">
        <v>5</v>
      </c>
      <c r="L6" t="s">
        <v>22</v>
      </c>
      <c r="N6" s="23"/>
    </row>
    <row r="7" spans="1:30" ht="15" thickBot="1" x14ac:dyDescent="0.4">
      <c r="A7" s="9" t="s">
        <v>16</v>
      </c>
      <c r="B7" s="2">
        <f>B6^2</f>
        <v>9.9856000000000016</v>
      </c>
      <c r="C7" s="2">
        <f t="shared" ref="C7:F7" si="1">C6^2</f>
        <v>38.440000000000005</v>
      </c>
      <c r="D7" s="2">
        <f t="shared" si="1"/>
        <v>40.832099999999997</v>
      </c>
      <c r="E7" s="2">
        <f t="shared" si="1"/>
        <v>45.697599999999994</v>
      </c>
      <c r="F7" s="2">
        <f t="shared" si="1"/>
        <v>12.6736</v>
      </c>
      <c r="I7" s="21" t="s">
        <v>72</v>
      </c>
      <c r="K7" s="24">
        <v>4</v>
      </c>
      <c r="L7" t="s">
        <v>22</v>
      </c>
      <c r="M7" s="25" t="s">
        <v>29</v>
      </c>
      <c r="O7" s="21" t="s">
        <v>73</v>
      </c>
      <c r="P7" s="24">
        <v>3</v>
      </c>
      <c r="Q7" t="s">
        <v>22</v>
      </c>
    </row>
    <row r="8" spans="1:30" ht="15" thickBot="1" x14ac:dyDescent="0.4">
      <c r="A8" s="9" t="s">
        <v>9</v>
      </c>
      <c r="B8" s="2">
        <v>0.48</v>
      </c>
      <c r="C8" s="2">
        <v>0.73</v>
      </c>
      <c r="D8" s="2">
        <v>0.8</v>
      </c>
      <c r="E8" s="2">
        <v>1.94</v>
      </c>
      <c r="F8" s="2">
        <v>2.54</v>
      </c>
      <c r="H8" s="11" t="s">
        <v>18</v>
      </c>
    </row>
    <row r="9" spans="1:30" ht="15" thickBot="1" x14ac:dyDescent="0.4">
      <c r="A9" s="9" t="s">
        <v>10</v>
      </c>
      <c r="B9" s="2">
        <v>1.98</v>
      </c>
      <c r="C9" s="2">
        <v>1.42</v>
      </c>
      <c r="D9" s="2">
        <v>2.39</v>
      </c>
      <c r="E9" s="2">
        <v>3.76</v>
      </c>
      <c r="F9" s="2">
        <v>3.98</v>
      </c>
      <c r="H9" s="12">
        <v>0</v>
      </c>
    </row>
    <row r="10" spans="1:30" x14ac:dyDescent="0.35">
      <c r="A10" s="10" t="s">
        <v>17</v>
      </c>
      <c r="B10" s="2">
        <f>B9^2</f>
        <v>3.9203999999999999</v>
      </c>
      <c r="C10" s="2">
        <f t="shared" ref="C10:F10" si="2">C9^2</f>
        <v>2.0164</v>
      </c>
      <c r="D10" s="2">
        <f t="shared" si="2"/>
        <v>5.7121000000000004</v>
      </c>
      <c r="E10" s="2">
        <f t="shared" si="2"/>
        <v>14.137599999999999</v>
      </c>
      <c r="F10" s="2">
        <f t="shared" si="2"/>
        <v>15.840400000000001</v>
      </c>
      <c r="H10" s="7"/>
      <c r="I10" s="21" t="s">
        <v>68</v>
      </c>
      <c r="K10" s="34">
        <f>0.05</f>
        <v>0.05</v>
      </c>
      <c r="L10" t="s">
        <v>54</v>
      </c>
    </row>
    <row r="11" spans="1:30" x14ac:dyDescent="0.35">
      <c r="I11" s="21" t="s">
        <v>69</v>
      </c>
      <c r="K11" s="34">
        <v>0.24</v>
      </c>
      <c r="L11" t="s">
        <v>54</v>
      </c>
    </row>
    <row r="12" spans="1:30" s="17" customFormat="1" x14ac:dyDescent="0.35">
      <c r="A12" s="3"/>
      <c r="I12" s="21" t="s">
        <v>67</v>
      </c>
      <c r="K12" s="46">
        <f>SUM(K10:K11)</f>
        <v>0.28999999999999998</v>
      </c>
      <c r="L12" t="s">
        <v>54</v>
      </c>
    </row>
    <row r="13" spans="1:30" s="31" customFormat="1" x14ac:dyDescent="0.35">
      <c r="A13" s="30" t="s">
        <v>33</v>
      </c>
    </row>
    <row r="14" spans="1:30" s="17" customFormat="1" ht="19" x14ac:dyDescent="0.45">
      <c r="A14" s="3" t="s">
        <v>19</v>
      </c>
      <c r="D14" s="17" t="s">
        <v>26</v>
      </c>
      <c r="I14" s="18" t="s">
        <v>30</v>
      </c>
      <c r="M14" s="17" t="s">
        <v>71</v>
      </c>
      <c r="P14" s="18"/>
      <c r="W14" s="26"/>
      <c r="X14" s="26"/>
      <c r="Y14" s="26"/>
      <c r="Z14" s="26"/>
      <c r="AA14" s="26"/>
      <c r="AB14" s="26"/>
      <c r="AD14" s="24" t="s">
        <v>31</v>
      </c>
    </row>
    <row r="15" spans="1:30" s="17" customFormat="1" ht="29" x14ac:dyDescent="0.35">
      <c r="A15" s="3"/>
      <c r="B15" s="8" t="s">
        <v>0</v>
      </c>
      <c r="C15" s="8" t="s">
        <v>1</v>
      </c>
      <c r="D15" s="8" t="s">
        <v>2</v>
      </c>
      <c r="E15" s="8" t="s">
        <v>3</v>
      </c>
      <c r="F15" s="8" t="s">
        <v>4</v>
      </c>
      <c r="G15" s="19" t="s">
        <v>20</v>
      </c>
      <c r="J15" s="8" t="s">
        <v>0</v>
      </c>
      <c r="K15" s="8" t="s">
        <v>1</v>
      </c>
      <c r="L15" s="8" t="s">
        <v>2</v>
      </c>
      <c r="M15" s="8" t="s">
        <v>3</v>
      </c>
      <c r="N15" s="8" t="s">
        <v>4</v>
      </c>
      <c r="P15" s="26"/>
      <c r="Q15" s="39"/>
      <c r="R15" s="39"/>
      <c r="S15" s="39"/>
      <c r="T15" s="39"/>
      <c r="U15" s="39"/>
      <c r="W15" s="26"/>
      <c r="X15" s="39"/>
      <c r="Y15" s="39"/>
      <c r="Z15" s="39"/>
      <c r="AA15" s="39"/>
      <c r="AB15" s="39"/>
      <c r="AD15" s="24"/>
    </row>
    <row r="16" spans="1:30" s="17" customFormat="1" x14ac:dyDescent="0.35">
      <c r="A16" s="6" t="s">
        <v>12</v>
      </c>
      <c r="B16" s="4">
        <f>_xlfn.NORM.S.INV(0.95)*SQRT(SUM($K$5:$K$6))*B3</f>
        <v>38.07842896325964</v>
      </c>
      <c r="C16" s="4">
        <f>_xlfn.NORM.S.INV(0.95)*SQRT(SUM($K$5:$K$6))*C3</f>
        <v>35.350747805433016</v>
      </c>
      <c r="D16" s="4">
        <f>_xlfn.NORM.S.INV(0.95)*SQRT(SUM($K$5:$K$6))*D3</f>
        <v>28.695205780336057</v>
      </c>
      <c r="E16" s="4">
        <f>_xlfn.NORM.S.INV(0.95)*SQRT(SUM($K$5:$K$6))*E3</f>
        <v>18.984660858473287</v>
      </c>
      <c r="F16" s="4">
        <f>_xlfn.NORM.S.INV(0.95)*SQRT(SUM($K$5:$K$6))*F3</f>
        <v>24.494576797283063</v>
      </c>
      <c r="G16" s="20">
        <f>SUM(B16:F16)</f>
        <v>145.60362020478507</v>
      </c>
      <c r="I16" s="6" t="s">
        <v>12</v>
      </c>
      <c r="J16" s="22">
        <f>((B2*$K$5))/2</f>
        <v>106.44</v>
      </c>
      <c r="K16" s="22">
        <f t="shared" ref="K16:N16" si="3">((C2*$K$5))/2</f>
        <v>67.83</v>
      </c>
      <c r="L16" s="22">
        <f t="shared" si="3"/>
        <v>52.980000000000004</v>
      </c>
      <c r="M16" s="22">
        <f t="shared" si="3"/>
        <v>35.43</v>
      </c>
      <c r="N16" s="22">
        <f t="shared" si="3"/>
        <v>10.08</v>
      </c>
      <c r="P16" s="3"/>
      <c r="Q16" s="58"/>
      <c r="R16" s="26"/>
      <c r="S16" s="26"/>
      <c r="T16" s="26"/>
      <c r="U16" s="26"/>
      <c r="W16" s="3"/>
      <c r="X16" s="26"/>
      <c r="Y16" s="26"/>
      <c r="Z16" s="26"/>
      <c r="AA16" s="26"/>
      <c r="AB16" s="26"/>
      <c r="AD16" s="27">
        <f>X16*0.15</f>
        <v>0</v>
      </c>
    </row>
    <row r="17" spans="1:28" s="17" customFormat="1" x14ac:dyDescent="0.35">
      <c r="A17" s="6" t="s">
        <v>13</v>
      </c>
      <c r="B17" s="4">
        <f>_xlfn.NORM.S.INV(0.95)*SQRT(SUM($K$5:$K$6))*B6</f>
        <v>17.238944917464249</v>
      </c>
      <c r="C17" s="4">
        <f>_xlfn.NORM.S.INV(0.95)*SQRT(SUM($K$5:$K$6))*C6</f>
        <v>33.82324635705011</v>
      </c>
      <c r="D17" s="4">
        <f>_xlfn.NORM.S.INV(0.95)*SQRT(SUM($K$5:$K$6))*D6</f>
        <v>34.859765197024224</v>
      </c>
      <c r="E17" s="4">
        <f>_xlfn.NORM.S.INV(0.95)*SQRT(SUM($K$5:$K$6))*E6</f>
        <v>36.878249253815923</v>
      </c>
      <c r="F17" s="4">
        <f>_xlfn.NORM.S.INV(0.95)*SQRT(SUM($K$5:$K$6))*F6</f>
        <v>19.421089843725547</v>
      </c>
      <c r="G17" s="20">
        <f t="shared" ref="G17:G18" si="4">SUM(B17:F17)</f>
        <v>142.22129556908004</v>
      </c>
      <c r="I17" s="6" t="s">
        <v>13</v>
      </c>
      <c r="J17" s="22">
        <f>(($K$5*B5))/2</f>
        <v>7.4399999999999995</v>
      </c>
      <c r="K17" s="22">
        <f t="shared" ref="K17:N17" si="5">(($K$5*C5))/2</f>
        <v>12.450000000000001</v>
      </c>
      <c r="L17" s="22">
        <f t="shared" si="5"/>
        <v>18.450000000000003</v>
      </c>
      <c r="M17" s="22">
        <f t="shared" si="5"/>
        <v>18.48</v>
      </c>
      <c r="N17" s="22">
        <f t="shared" si="5"/>
        <v>22.47</v>
      </c>
      <c r="P17" s="3"/>
      <c r="Q17" s="26"/>
      <c r="R17" s="26"/>
      <c r="S17" s="26"/>
      <c r="T17" s="26"/>
      <c r="U17" s="26"/>
      <c r="W17" s="3"/>
      <c r="X17" s="26"/>
      <c r="Y17" s="26"/>
      <c r="Z17" s="26"/>
      <c r="AA17" s="26"/>
      <c r="AB17" s="26"/>
    </row>
    <row r="18" spans="1:28" s="17" customFormat="1" x14ac:dyDescent="0.35">
      <c r="A18" s="6" t="s">
        <v>14</v>
      </c>
      <c r="B18" s="4">
        <f>_xlfn.NORM.S.INV(0.95)*SQRT(SUM($K$5:$K$6))*B9</f>
        <v>10.801617384993421</v>
      </c>
      <c r="C18" s="4">
        <f t="shared" ref="C18:F18" si="6">_xlfn.NORM.S.INV(0.95)*SQRT(SUM($K$5:$K$6))*C9</f>
        <v>7.7466144882276051</v>
      </c>
      <c r="D18" s="4">
        <f t="shared" si="6"/>
        <v>13.038315934411251</v>
      </c>
      <c r="E18" s="4">
        <f t="shared" si="6"/>
        <v>20.512162306856194</v>
      </c>
      <c r="F18" s="4">
        <f t="shared" si="6"/>
        <v>21.712342016299907</v>
      </c>
      <c r="G18" s="20">
        <f t="shared" si="4"/>
        <v>73.811052130788369</v>
      </c>
      <c r="I18" s="6" t="s">
        <v>14</v>
      </c>
      <c r="J18" s="22">
        <f>(($K$5*B8))/2</f>
        <v>1.44</v>
      </c>
      <c r="K18" s="22">
        <f t="shared" ref="K18:N18" si="7">(($K$5*C8))/2</f>
        <v>2.19</v>
      </c>
      <c r="L18" s="22">
        <f t="shared" si="7"/>
        <v>2.4000000000000004</v>
      </c>
      <c r="M18" s="22">
        <f t="shared" si="7"/>
        <v>5.82</v>
      </c>
      <c r="N18" s="22">
        <f t="shared" si="7"/>
        <v>7.62</v>
      </c>
      <c r="P18" s="3"/>
      <c r="Q18" s="26"/>
      <c r="R18" s="26"/>
      <c r="S18" s="26"/>
      <c r="T18" s="26"/>
      <c r="U18" s="26"/>
      <c r="W18" s="3"/>
      <c r="X18" s="26"/>
      <c r="Y18" s="26"/>
      <c r="Z18" s="26"/>
      <c r="AA18" s="26"/>
      <c r="AB18" s="26"/>
    </row>
    <row r="19" spans="1:28" s="17" customFormat="1" x14ac:dyDescent="0.35">
      <c r="A19" s="3"/>
      <c r="B19" s="28"/>
      <c r="C19" s="28"/>
      <c r="D19" s="28"/>
      <c r="E19" s="28"/>
      <c r="F19" s="28"/>
      <c r="G19" s="29"/>
      <c r="I19" s="3"/>
      <c r="J19" s="26"/>
      <c r="K19" s="26"/>
      <c r="L19" s="26"/>
      <c r="M19" s="26"/>
      <c r="N19" s="26"/>
      <c r="P19" s="3"/>
      <c r="Q19" s="26"/>
      <c r="R19" s="26"/>
      <c r="S19" s="26"/>
      <c r="T19" s="26"/>
      <c r="U19" s="26"/>
      <c r="W19" s="3"/>
      <c r="X19" s="26"/>
      <c r="Y19" s="26"/>
      <c r="Z19" s="26"/>
      <c r="AA19" s="26"/>
      <c r="AB19" s="26"/>
    </row>
    <row r="20" spans="1:28" s="17" customFormat="1" x14ac:dyDescent="0.35">
      <c r="A20" s="3"/>
      <c r="B20" s="28"/>
      <c r="C20" s="28"/>
      <c r="D20" s="28"/>
      <c r="E20" s="28"/>
      <c r="F20" s="28"/>
      <c r="G20" s="29"/>
      <c r="I20" s="3"/>
      <c r="J20" s="26"/>
      <c r="K20" s="26"/>
      <c r="L20" s="26"/>
      <c r="M20" s="26"/>
      <c r="N20" s="26"/>
      <c r="P20" s="3"/>
      <c r="Q20" s="26"/>
      <c r="R20" s="26"/>
      <c r="S20" s="26"/>
      <c r="T20" s="26"/>
      <c r="U20" s="26"/>
      <c r="W20" s="3"/>
      <c r="X20" s="26"/>
      <c r="Y20" s="26"/>
      <c r="Z20" s="26"/>
      <c r="AA20" s="26"/>
      <c r="AB20" s="26"/>
    </row>
    <row r="21" spans="1:28" s="17" customFormat="1" x14ac:dyDescent="0.35">
      <c r="A21" s="3" t="s">
        <v>46</v>
      </c>
      <c r="D21" s="17" t="s">
        <v>62</v>
      </c>
      <c r="I21" s="18" t="s">
        <v>43</v>
      </c>
      <c r="M21" s="17" t="s">
        <v>45</v>
      </c>
      <c r="P21" s="18" t="s">
        <v>44</v>
      </c>
      <c r="W21" s="3" t="s">
        <v>47</v>
      </c>
      <c r="X21" s="26"/>
      <c r="Y21" s="26"/>
      <c r="Z21" s="26"/>
      <c r="AA21" s="26"/>
      <c r="AB21" s="26"/>
    </row>
    <row r="22" spans="1:28" s="17" customFormat="1" x14ac:dyDescent="0.35">
      <c r="A22" s="3"/>
      <c r="B22" s="8" t="s">
        <v>0</v>
      </c>
      <c r="C22" s="8" t="s">
        <v>1</v>
      </c>
      <c r="D22" s="8" t="s">
        <v>2</v>
      </c>
      <c r="E22" s="8" t="s">
        <v>3</v>
      </c>
      <c r="F22" s="8" t="s">
        <v>4</v>
      </c>
      <c r="G22" s="38"/>
      <c r="J22" s="8" t="s">
        <v>0</v>
      </c>
      <c r="K22" s="8" t="s">
        <v>1</v>
      </c>
      <c r="L22" s="8" t="s">
        <v>2</v>
      </c>
      <c r="M22" s="8" t="s">
        <v>3</v>
      </c>
      <c r="N22" s="8" t="s">
        <v>4</v>
      </c>
      <c r="Q22" s="8" t="s">
        <v>0</v>
      </c>
      <c r="R22" s="8" t="s">
        <v>1</v>
      </c>
      <c r="S22" s="8" t="s">
        <v>2</v>
      </c>
      <c r="T22" s="8" t="s">
        <v>3</v>
      </c>
      <c r="U22" s="8" t="s">
        <v>4</v>
      </c>
      <c r="X22" s="8" t="s">
        <v>0</v>
      </c>
      <c r="Y22" s="8" t="s">
        <v>1</v>
      </c>
      <c r="Z22" s="8" t="s">
        <v>2</v>
      </c>
      <c r="AA22" s="8" t="s">
        <v>3</v>
      </c>
      <c r="AB22" s="8" t="s">
        <v>4</v>
      </c>
    </row>
    <row r="23" spans="1:28" s="17" customFormat="1" x14ac:dyDescent="0.35">
      <c r="A23" s="6" t="s">
        <v>12</v>
      </c>
      <c r="B23" s="36">
        <f>B16*$K$4</f>
        <v>2084.7939857384654</v>
      </c>
      <c r="C23" s="36">
        <f t="shared" ref="C23:F23" si="8">C16*$K$4</f>
        <v>1935.4534423474577</v>
      </c>
      <c r="D23" s="36">
        <f t="shared" si="8"/>
        <v>1571.062516473399</v>
      </c>
      <c r="E23" s="36">
        <f t="shared" si="8"/>
        <v>1039.4101820014125</v>
      </c>
      <c r="F23" s="36">
        <f t="shared" si="8"/>
        <v>1341.0780796512477</v>
      </c>
      <c r="G23" s="37"/>
      <c r="I23" s="6" t="s">
        <v>12</v>
      </c>
      <c r="J23" s="35">
        <f>J16*$K$4</f>
        <v>5827.59</v>
      </c>
      <c r="K23" s="35">
        <f t="shared" ref="K23:N23" si="9">K16*$K$4</f>
        <v>3713.6925000000001</v>
      </c>
      <c r="L23" s="35">
        <f t="shared" si="9"/>
        <v>2900.6550000000002</v>
      </c>
      <c r="M23" s="35">
        <f t="shared" si="9"/>
        <v>1939.7925</v>
      </c>
      <c r="N23" s="35">
        <f t="shared" si="9"/>
        <v>551.88</v>
      </c>
      <c r="P23" s="6" t="s">
        <v>12</v>
      </c>
      <c r="Q23" s="35">
        <f>365*B2*$K$7*($K$4/365)</f>
        <v>7770.119999999999</v>
      </c>
      <c r="R23" s="35">
        <f t="shared" ref="R23:U23" si="10">365*C2*$K$7*($K$4/365)</f>
        <v>4951.5899999999992</v>
      </c>
      <c r="S23" s="35">
        <f t="shared" si="10"/>
        <v>3867.5399999999995</v>
      </c>
      <c r="T23" s="35">
        <f t="shared" si="10"/>
        <v>2586.3900000000003</v>
      </c>
      <c r="U23" s="35">
        <f t="shared" si="10"/>
        <v>735.83999999999992</v>
      </c>
      <c r="W23" s="6" t="s">
        <v>12</v>
      </c>
      <c r="X23" s="35">
        <f>Q23+J23+B23</f>
        <v>15682.503985738465</v>
      </c>
      <c r="Y23" s="35">
        <f t="shared" ref="Y23:AB25" si="11">R23+K23+C23</f>
        <v>10600.735942347457</v>
      </c>
      <c r="Z23" s="35">
        <f t="shared" si="11"/>
        <v>8339.2575164733989</v>
      </c>
      <c r="AA23" s="35">
        <f t="shared" si="11"/>
        <v>5565.5926820014138</v>
      </c>
      <c r="AB23" s="35">
        <f t="shared" si="11"/>
        <v>2628.7980796512475</v>
      </c>
    </row>
    <row r="24" spans="1:28" s="17" customFormat="1" x14ac:dyDescent="0.35">
      <c r="A24" s="6" t="s">
        <v>13</v>
      </c>
      <c r="B24" s="36">
        <f t="shared" ref="B24:F25" si="12">B17*$K$4</f>
        <v>943.8322342311676</v>
      </c>
      <c r="C24" s="36">
        <f t="shared" si="12"/>
        <v>1851.8227380484934</v>
      </c>
      <c r="D24" s="36">
        <f t="shared" si="12"/>
        <v>1908.5721445370762</v>
      </c>
      <c r="E24" s="36">
        <f t="shared" si="12"/>
        <v>2019.0841466464217</v>
      </c>
      <c r="F24" s="36">
        <f t="shared" si="12"/>
        <v>1063.3046689439736</v>
      </c>
      <c r="G24" s="37"/>
      <c r="I24" s="6" t="s">
        <v>13</v>
      </c>
      <c r="J24" s="35">
        <f t="shared" ref="J24:N25" si="13">J17*$K$4</f>
        <v>407.34</v>
      </c>
      <c r="K24" s="35">
        <f t="shared" si="13"/>
        <v>681.63750000000005</v>
      </c>
      <c r="L24" s="35">
        <f t="shared" si="13"/>
        <v>1010.1375000000002</v>
      </c>
      <c r="M24" s="35">
        <f t="shared" si="13"/>
        <v>1011.78</v>
      </c>
      <c r="N24" s="35">
        <f t="shared" si="13"/>
        <v>1230.2324999999998</v>
      </c>
      <c r="P24" s="6" t="s">
        <v>13</v>
      </c>
      <c r="Q24" s="35">
        <f>365*B5*$K$7*($K$4/365)</f>
        <v>543.12</v>
      </c>
      <c r="R24" s="35">
        <f t="shared" ref="R24:U24" si="14">365*C5*$K$7*($K$4/365)</f>
        <v>908.85000000000014</v>
      </c>
      <c r="S24" s="35">
        <f t="shared" si="14"/>
        <v>1346.85</v>
      </c>
      <c r="T24" s="35">
        <f t="shared" si="14"/>
        <v>1349.04</v>
      </c>
      <c r="U24" s="35">
        <f t="shared" si="14"/>
        <v>1640.31</v>
      </c>
      <c r="W24" s="6" t="s">
        <v>13</v>
      </c>
      <c r="X24" s="35">
        <f t="shared" ref="X24:X25" si="15">Q24+J24+B24</f>
        <v>1894.2922342311676</v>
      </c>
      <c r="Y24" s="35">
        <f t="shared" si="11"/>
        <v>3442.3102380484934</v>
      </c>
      <c r="Z24" s="35">
        <f t="shared" si="11"/>
        <v>4265.5596445370766</v>
      </c>
      <c r="AA24" s="35">
        <f t="shared" si="11"/>
        <v>4379.9041466464214</v>
      </c>
      <c r="AB24" s="35">
        <f t="shared" si="11"/>
        <v>3933.847168943973</v>
      </c>
    </row>
    <row r="25" spans="1:28" s="17" customFormat="1" x14ac:dyDescent="0.35">
      <c r="A25" s="6" t="s">
        <v>14</v>
      </c>
      <c r="B25" s="36">
        <f t="shared" si="12"/>
        <v>591.38855182838972</v>
      </c>
      <c r="C25" s="36">
        <f t="shared" si="12"/>
        <v>424.1271432304614</v>
      </c>
      <c r="D25" s="36">
        <f t="shared" si="12"/>
        <v>713.84779740901604</v>
      </c>
      <c r="E25" s="36">
        <f t="shared" si="12"/>
        <v>1123.0408863003765</v>
      </c>
      <c r="F25" s="36">
        <f t="shared" si="12"/>
        <v>1188.75072539242</v>
      </c>
      <c r="G25" s="37"/>
      <c r="I25" s="6" t="s">
        <v>14</v>
      </c>
      <c r="J25" s="35">
        <f t="shared" si="13"/>
        <v>78.84</v>
      </c>
      <c r="K25" s="35">
        <f t="shared" si="13"/>
        <v>119.9025</v>
      </c>
      <c r="L25" s="35">
        <f t="shared" si="13"/>
        <v>131.4</v>
      </c>
      <c r="M25" s="35">
        <f t="shared" si="13"/>
        <v>318.64500000000004</v>
      </c>
      <c r="N25" s="35">
        <f t="shared" si="13"/>
        <v>417.19499999999999</v>
      </c>
      <c r="P25" s="6" t="s">
        <v>14</v>
      </c>
      <c r="Q25" s="35">
        <f>365*B8*$K$7*($K$4/365)</f>
        <v>105.11999999999999</v>
      </c>
      <c r="R25" s="35">
        <f t="shared" ref="R25:U25" si="16">365*C8*$K$7*($K$4/365)</f>
        <v>159.86999999999998</v>
      </c>
      <c r="S25" s="35">
        <f t="shared" si="16"/>
        <v>175.2</v>
      </c>
      <c r="T25" s="35">
        <f t="shared" si="16"/>
        <v>424.86</v>
      </c>
      <c r="U25" s="35">
        <f t="shared" si="16"/>
        <v>556.26</v>
      </c>
      <c r="W25" s="6" t="s">
        <v>14</v>
      </c>
      <c r="X25" s="35">
        <f t="shared" si="15"/>
        <v>775.34855182838965</v>
      </c>
      <c r="Y25" s="35">
        <f t="shared" si="11"/>
        <v>703.89964323046138</v>
      </c>
      <c r="Z25" s="35">
        <f t="shared" si="11"/>
        <v>1020.4477974090161</v>
      </c>
      <c r="AA25" s="35">
        <f t="shared" si="11"/>
        <v>1866.5458863003767</v>
      </c>
      <c r="AB25" s="35">
        <f t="shared" si="11"/>
        <v>2162.2057253924199</v>
      </c>
    </row>
    <row r="26" spans="1:28" s="17" customFormat="1" x14ac:dyDescent="0.35">
      <c r="A26" s="3"/>
      <c r="B26" s="28"/>
      <c r="C26" s="28"/>
      <c r="D26" s="28"/>
      <c r="E26" s="28"/>
      <c r="F26" s="28"/>
      <c r="G26" s="29"/>
      <c r="I26" s="3"/>
      <c r="J26" s="26"/>
      <c r="K26" s="26"/>
      <c r="L26" s="26"/>
      <c r="M26" s="26"/>
      <c r="N26" s="26"/>
      <c r="P26" s="3"/>
      <c r="Q26" s="26"/>
      <c r="R26" s="26"/>
      <c r="S26" s="26"/>
      <c r="T26" s="26"/>
      <c r="U26" s="26"/>
      <c r="W26" s="3"/>
      <c r="X26" s="26"/>
      <c r="Y26" s="26"/>
      <c r="Z26" s="26"/>
      <c r="AA26" s="26"/>
      <c r="AB26" s="26"/>
    </row>
    <row r="27" spans="1:28" s="31" customFormat="1" x14ac:dyDescent="0.35">
      <c r="A27" s="30" t="s">
        <v>34</v>
      </c>
    </row>
    <row r="28" spans="1:28" s="17" customFormat="1" x14ac:dyDescent="0.35">
      <c r="A28" s="3" t="s">
        <v>35</v>
      </c>
      <c r="B28" s="28"/>
      <c r="C28" s="28"/>
      <c r="D28" s="28"/>
      <c r="E28" s="28" t="s">
        <v>55</v>
      </c>
      <c r="G28" s="29"/>
      <c r="I28" s="3" t="s">
        <v>56</v>
      </c>
      <c r="J28" s="26"/>
      <c r="K28" s="26"/>
      <c r="L28" s="26"/>
      <c r="M28" s="26"/>
      <c r="N28" s="26"/>
      <c r="P28" s="3"/>
      <c r="Q28" s="26"/>
      <c r="R28" s="26"/>
      <c r="S28" s="26"/>
      <c r="T28" s="26"/>
      <c r="U28" s="26"/>
      <c r="W28" s="3"/>
      <c r="X28" s="26"/>
      <c r="Y28" s="26"/>
      <c r="Z28" s="26"/>
      <c r="AA28" s="26"/>
      <c r="AB28" s="26"/>
    </row>
    <row r="29" spans="1:28" s="17" customFormat="1" x14ac:dyDescent="0.35">
      <c r="A29" s="3"/>
      <c r="B29" s="8" t="s">
        <v>0</v>
      </c>
      <c r="C29" s="8" t="s">
        <v>1</v>
      </c>
      <c r="D29" s="8" t="s">
        <v>2</v>
      </c>
      <c r="E29" s="8" t="s">
        <v>3</v>
      </c>
      <c r="F29" s="8" t="s">
        <v>4</v>
      </c>
      <c r="G29" s="29"/>
      <c r="I29" s="3"/>
      <c r="J29" s="8" t="s">
        <v>0</v>
      </c>
      <c r="K29" s="8" t="s">
        <v>1</v>
      </c>
      <c r="L29" s="8" t="s">
        <v>2</v>
      </c>
      <c r="M29" s="8" t="s">
        <v>3</v>
      </c>
      <c r="N29" s="8" t="s">
        <v>4</v>
      </c>
      <c r="O29" s="15" t="s">
        <v>57</v>
      </c>
      <c r="P29" s="3"/>
      <c r="Q29" s="26"/>
      <c r="R29" s="26"/>
      <c r="S29" s="26"/>
      <c r="T29" s="26"/>
      <c r="U29" s="26"/>
      <c r="W29" s="3"/>
      <c r="X29" s="26"/>
      <c r="Y29" s="26"/>
      <c r="Z29" s="26"/>
      <c r="AA29" s="26"/>
      <c r="AB29" s="26"/>
    </row>
    <row r="30" spans="1:28" s="17" customFormat="1" x14ac:dyDescent="0.35">
      <c r="A30" s="6" t="s">
        <v>12</v>
      </c>
      <c r="B30" s="36">
        <f>B2*365*$K$3</f>
        <v>2460.538</v>
      </c>
      <c r="C30" s="36">
        <f t="shared" ref="C30:F30" si="17">C2*365*$K$3</f>
        <v>1568.0035</v>
      </c>
      <c r="D30" s="36">
        <f t="shared" si="17"/>
        <v>1224.721</v>
      </c>
      <c r="E30" s="36">
        <f t="shared" si="17"/>
        <v>819.02350000000013</v>
      </c>
      <c r="F30" s="36">
        <f t="shared" si="17"/>
        <v>233.01599999999996</v>
      </c>
      <c r="G30" s="29"/>
      <c r="I30" s="6" t="s">
        <v>12</v>
      </c>
      <c r="J30" s="36">
        <f>X23+B30</f>
        <v>18143.041985738466</v>
      </c>
      <c r="K30" s="36">
        <f t="shared" ref="K30:N32" si="18">Y23+C30</f>
        <v>12168.739442347458</v>
      </c>
      <c r="L30" s="36">
        <f t="shared" si="18"/>
        <v>9563.9785164733985</v>
      </c>
      <c r="M30" s="36">
        <f t="shared" si="18"/>
        <v>6384.616182001414</v>
      </c>
      <c r="N30" s="36">
        <f t="shared" si="18"/>
        <v>2861.8140796512475</v>
      </c>
      <c r="O30" s="35">
        <f>SUM(J30:N30)*O1</f>
        <v>491221.90206211986</v>
      </c>
      <c r="P30" s="3"/>
      <c r="Q30" s="26"/>
      <c r="R30" s="26"/>
      <c r="S30" s="26"/>
      <c r="T30" s="26"/>
      <c r="U30" s="26"/>
      <c r="W30" s="3"/>
      <c r="X30" s="26"/>
      <c r="Y30" s="26"/>
      <c r="Z30" s="26"/>
      <c r="AA30" s="26"/>
      <c r="AB30" s="26"/>
    </row>
    <row r="31" spans="1:28" s="17" customFormat="1" x14ac:dyDescent="0.35">
      <c r="A31" s="6" t="s">
        <v>13</v>
      </c>
      <c r="B31" s="36">
        <f>B5*365*$K$3</f>
        <v>171.988</v>
      </c>
      <c r="C31" s="36">
        <f t="shared" ref="C31:F31" si="19">C5*365*$K$3</f>
        <v>287.80250000000007</v>
      </c>
      <c r="D31" s="36">
        <f t="shared" si="19"/>
        <v>426.5025</v>
      </c>
      <c r="E31" s="36">
        <f t="shared" si="19"/>
        <v>427.19600000000003</v>
      </c>
      <c r="F31" s="36">
        <f t="shared" si="19"/>
        <v>519.43150000000003</v>
      </c>
      <c r="G31" s="29"/>
      <c r="I31" s="6" t="s">
        <v>13</v>
      </c>
      <c r="J31" s="36">
        <f t="shared" ref="J31" si="20">X24+B31</f>
        <v>2066.2802342311675</v>
      </c>
      <c r="K31" s="36">
        <f t="shared" si="18"/>
        <v>3730.1127380484936</v>
      </c>
      <c r="L31" s="36">
        <f t="shared" si="18"/>
        <v>4692.0621445370762</v>
      </c>
      <c r="M31" s="36">
        <f t="shared" si="18"/>
        <v>4807.1001466464213</v>
      </c>
      <c r="N31" s="36">
        <f t="shared" si="18"/>
        <v>4453.2786689439727</v>
      </c>
      <c r="O31" s="35">
        <f t="shared" ref="O31:O32" si="21">SUM(J31:N31)*O2</f>
        <v>394976.67864814273</v>
      </c>
      <c r="P31" s="3"/>
      <c r="Q31" s="26"/>
      <c r="R31" s="26"/>
      <c r="S31" s="26"/>
      <c r="T31" s="26"/>
      <c r="U31" s="26"/>
      <c r="W31" s="3"/>
      <c r="X31" s="26"/>
      <c r="Y31" s="26"/>
      <c r="Z31" s="26"/>
      <c r="AA31" s="26"/>
      <c r="AB31" s="26"/>
    </row>
    <row r="32" spans="1:28" s="17" customFormat="1" x14ac:dyDescent="0.35">
      <c r="A32" s="6" t="s">
        <v>14</v>
      </c>
      <c r="B32" s="36">
        <f>B8*365*$K$3</f>
        <v>33.287999999999997</v>
      </c>
      <c r="C32" s="36">
        <f t="shared" ref="C32:E32" si="22">C8*365*$K$3</f>
        <v>50.625499999999995</v>
      </c>
      <c r="D32" s="36">
        <f t="shared" si="22"/>
        <v>55.480000000000004</v>
      </c>
      <c r="E32" s="36">
        <f t="shared" si="22"/>
        <v>134.53900000000002</v>
      </c>
      <c r="F32" s="36">
        <f>F8*365*$K$3</f>
        <v>176.149</v>
      </c>
      <c r="G32" s="29"/>
      <c r="I32" s="6" t="s">
        <v>14</v>
      </c>
      <c r="J32" s="36">
        <f>X25+B32</f>
        <v>808.63655182838966</v>
      </c>
      <c r="K32" s="36">
        <f t="shared" si="18"/>
        <v>754.52514323046137</v>
      </c>
      <c r="L32" s="36">
        <f t="shared" si="18"/>
        <v>1075.927797409016</v>
      </c>
      <c r="M32" s="36">
        <f t="shared" si="18"/>
        <v>2001.0848863003766</v>
      </c>
      <c r="N32" s="36">
        <f t="shared" si="18"/>
        <v>2338.3547253924198</v>
      </c>
      <c r="O32" s="35">
        <f t="shared" si="21"/>
        <v>488497.03729124641</v>
      </c>
      <c r="P32" s="3"/>
      <c r="Q32" s="26"/>
      <c r="R32" s="26"/>
      <c r="S32" s="26"/>
      <c r="T32" s="26"/>
      <c r="U32" s="26"/>
      <c r="W32" s="3"/>
      <c r="X32" s="26"/>
      <c r="Y32" s="26"/>
      <c r="Z32" s="26"/>
      <c r="AA32" s="26"/>
      <c r="AB32" s="26"/>
    </row>
    <row r="33" spans="1:28" s="17" customFormat="1" x14ac:dyDescent="0.35">
      <c r="A33" s="3"/>
      <c r="B33" s="28"/>
      <c r="C33" s="28"/>
      <c r="D33" s="28"/>
      <c r="E33" s="28"/>
      <c r="F33" s="28"/>
      <c r="G33" s="29"/>
      <c r="I33" s="3"/>
      <c r="J33" s="26"/>
      <c r="K33" s="26"/>
      <c r="L33" s="26"/>
      <c r="M33" s="26"/>
      <c r="N33" s="44" t="s">
        <v>61</v>
      </c>
      <c r="O33" s="54">
        <f>SUM(O30:O32)</f>
        <v>1374695.618001509</v>
      </c>
      <c r="P33" s="3"/>
      <c r="Q33" s="26"/>
      <c r="R33" s="26"/>
      <c r="S33" s="26"/>
      <c r="T33" s="26"/>
      <c r="U33" s="26"/>
      <c r="W33" s="3"/>
      <c r="X33" s="26"/>
      <c r="Y33" s="26"/>
      <c r="Z33" s="26"/>
      <c r="AA33" s="26"/>
      <c r="AB33" s="26"/>
    </row>
    <row r="34" spans="1:28" s="17" customFormat="1" x14ac:dyDescent="0.35">
      <c r="A34" s="3"/>
      <c r="B34" s="28"/>
      <c r="C34" s="28"/>
      <c r="D34" s="28"/>
      <c r="E34" s="28"/>
      <c r="F34" s="28"/>
      <c r="G34" s="29"/>
      <c r="I34" s="3"/>
      <c r="J34" s="26"/>
      <c r="K34" s="26"/>
      <c r="L34" s="26"/>
      <c r="M34" s="26"/>
      <c r="N34" s="26"/>
      <c r="P34" s="3"/>
      <c r="Q34" s="26"/>
      <c r="R34" s="26"/>
      <c r="S34" s="26"/>
      <c r="T34" s="26"/>
      <c r="U34" s="26"/>
      <c r="W34" s="3"/>
      <c r="X34" s="26"/>
      <c r="Y34" s="26"/>
      <c r="Z34" s="26"/>
      <c r="AA34" s="26"/>
      <c r="AB34" s="26"/>
    </row>
    <row r="35" spans="1:28" s="17" customFormat="1" x14ac:dyDescent="0.35">
      <c r="A35" s="3"/>
    </row>
    <row r="36" spans="1:28" s="17" customFormat="1" x14ac:dyDescent="0.35">
      <c r="A36" s="3"/>
    </row>
    <row r="37" spans="1:28" s="17" customFormat="1" x14ac:dyDescent="0.35">
      <c r="A37" s="3"/>
    </row>
    <row r="38" spans="1:28" s="33" customFormat="1" x14ac:dyDescent="0.35">
      <c r="A38" s="32" t="s">
        <v>32</v>
      </c>
    </row>
    <row r="39" spans="1:28" s="17" customFormat="1" x14ac:dyDescent="0.35">
      <c r="A39" s="59"/>
      <c r="B39" s="60"/>
      <c r="C39" s="60"/>
      <c r="D39" s="60"/>
      <c r="E39" s="60"/>
      <c r="F39" s="60"/>
    </row>
    <row r="40" spans="1:28" ht="21" x14ac:dyDescent="0.55000000000000004">
      <c r="A40" s="59" t="s">
        <v>27</v>
      </c>
      <c r="B40" s="61" t="s">
        <v>101</v>
      </c>
      <c r="C40" s="61"/>
      <c r="D40" s="61"/>
      <c r="E40" s="61"/>
      <c r="F40" s="61"/>
    </row>
    <row r="41" spans="1:28" x14ac:dyDescent="0.35">
      <c r="A41" s="62" t="s">
        <v>12</v>
      </c>
      <c r="B41" s="63" t="s">
        <v>0</v>
      </c>
      <c r="C41" s="63" t="s">
        <v>1</v>
      </c>
      <c r="D41" s="63" t="s">
        <v>2</v>
      </c>
      <c r="E41" s="63" t="s">
        <v>3</v>
      </c>
      <c r="F41" s="63" t="s">
        <v>4</v>
      </c>
      <c r="H41" s="14" t="s">
        <v>13</v>
      </c>
      <c r="I41" s="8" t="s">
        <v>0</v>
      </c>
      <c r="J41" s="8" t="s">
        <v>1</v>
      </c>
      <c r="K41" s="8" t="s">
        <v>2</v>
      </c>
      <c r="L41" s="8" t="s">
        <v>3</v>
      </c>
      <c r="M41" s="8" t="s">
        <v>4</v>
      </c>
      <c r="O41" s="14" t="s">
        <v>14</v>
      </c>
      <c r="P41" s="8" t="s">
        <v>0</v>
      </c>
      <c r="Q41" s="8" t="s">
        <v>1</v>
      </c>
      <c r="R41" s="8" t="s">
        <v>2</v>
      </c>
      <c r="S41" s="8" t="s">
        <v>3</v>
      </c>
      <c r="T41" s="8" t="s">
        <v>4</v>
      </c>
    </row>
    <row r="42" spans="1:28" x14ac:dyDescent="0.35">
      <c r="A42" s="64" t="s">
        <v>0</v>
      </c>
      <c r="B42" s="65"/>
      <c r="C42" s="65">
        <v>0</v>
      </c>
      <c r="D42" s="65">
        <v>0</v>
      </c>
      <c r="E42" s="65">
        <v>0</v>
      </c>
      <c r="F42" s="65">
        <v>0</v>
      </c>
      <c r="H42" s="5" t="s">
        <v>0</v>
      </c>
      <c r="I42" s="4"/>
      <c r="J42" s="4">
        <f>$H$9*$B$6*C6</f>
        <v>0</v>
      </c>
      <c r="K42" s="4">
        <f>$H$9*$B$6*D6</f>
        <v>0</v>
      </c>
      <c r="L42" s="4">
        <f>$H$9*$B$6*E6</f>
        <v>0</v>
      </c>
      <c r="M42" s="4">
        <f>$H$9*$B$6*F6</f>
        <v>0</v>
      </c>
      <c r="O42" s="5" t="s">
        <v>0</v>
      </c>
      <c r="P42" s="4"/>
      <c r="Q42" s="4">
        <f>$H$9*$B$9*C9</f>
        <v>0</v>
      </c>
      <c r="R42" s="4">
        <f>$H$9*$B$9*D9</f>
        <v>0</v>
      </c>
      <c r="S42" s="4">
        <f>$H$9*$B$9*E9</f>
        <v>0</v>
      </c>
      <c r="T42" s="4">
        <f>$H$9*$B$9*F9</f>
        <v>0</v>
      </c>
    </row>
    <row r="43" spans="1:28" x14ac:dyDescent="0.35">
      <c r="A43" s="64" t="s">
        <v>1</v>
      </c>
      <c r="B43" s="65"/>
      <c r="C43" s="65">
        <v>0</v>
      </c>
      <c r="D43" s="65">
        <v>0</v>
      </c>
      <c r="E43" s="65">
        <v>0</v>
      </c>
      <c r="F43" s="65">
        <v>0</v>
      </c>
      <c r="H43" s="5" t="s">
        <v>1</v>
      </c>
      <c r="I43" s="4"/>
      <c r="J43" s="4"/>
      <c r="K43" s="4">
        <f>$H$9*$C$6*D6</f>
        <v>0</v>
      </c>
      <c r="L43" s="4">
        <f>$H$9*$C$6*E6</f>
        <v>0</v>
      </c>
      <c r="M43" s="4">
        <f>$H$9*$C$6*F6</f>
        <v>0</v>
      </c>
      <c r="O43" s="5" t="s">
        <v>1</v>
      </c>
      <c r="P43" s="4"/>
      <c r="Q43" s="4"/>
      <c r="R43" s="4">
        <f>$H$9*$C$9*D9</f>
        <v>0</v>
      </c>
      <c r="S43" s="4">
        <f>$H$9*$C$9*E9</f>
        <v>0</v>
      </c>
      <c r="T43" s="4">
        <f>$H$9*$C$9*F9</f>
        <v>0</v>
      </c>
    </row>
    <row r="44" spans="1:28" x14ac:dyDescent="0.35">
      <c r="A44" s="64" t="s">
        <v>2</v>
      </c>
      <c r="B44" s="65"/>
      <c r="C44" s="65">
        <v>0</v>
      </c>
      <c r="D44" s="65">
        <v>0</v>
      </c>
      <c r="E44" s="65">
        <v>0</v>
      </c>
      <c r="F44" s="65">
        <v>0</v>
      </c>
      <c r="H44" s="5" t="s">
        <v>2</v>
      </c>
      <c r="I44" s="4"/>
      <c r="J44" s="4"/>
      <c r="K44" s="4"/>
      <c r="L44" s="4">
        <f>$H$9*$D$6*E6</f>
        <v>0</v>
      </c>
      <c r="M44" s="4">
        <f>$H$9*$D$6*F6</f>
        <v>0</v>
      </c>
      <c r="O44" s="5" t="s">
        <v>2</v>
      </c>
      <c r="P44" s="4"/>
      <c r="Q44" s="4"/>
      <c r="R44" s="4"/>
      <c r="S44" s="4">
        <f>$H$9*$D$9*E9</f>
        <v>0</v>
      </c>
      <c r="T44" s="4">
        <f>$H$9*$D$9*F9</f>
        <v>0</v>
      </c>
    </row>
    <row r="45" spans="1:28" x14ac:dyDescent="0.35">
      <c r="A45" s="64" t="s">
        <v>3</v>
      </c>
      <c r="B45" s="65"/>
      <c r="C45" s="65">
        <v>0</v>
      </c>
      <c r="D45" s="65">
        <v>0</v>
      </c>
      <c r="E45" s="65">
        <v>0</v>
      </c>
      <c r="F45" s="65">
        <v>0</v>
      </c>
      <c r="H45" s="5" t="s">
        <v>3</v>
      </c>
      <c r="I45" s="4"/>
      <c r="J45" s="4"/>
      <c r="K45" s="4"/>
      <c r="L45" s="4"/>
      <c r="M45" s="4">
        <f>$H$9*E6*F6</f>
        <v>0</v>
      </c>
      <c r="O45" s="5" t="s">
        <v>3</v>
      </c>
      <c r="P45" s="4"/>
      <c r="Q45" s="4"/>
      <c r="R45" s="4"/>
      <c r="S45" s="4"/>
      <c r="T45" s="4">
        <f>$H$9*$E$9*F9</f>
        <v>0</v>
      </c>
    </row>
    <row r="46" spans="1:28" x14ac:dyDescent="0.35">
      <c r="A46" s="64" t="s">
        <v>4</v>
      </c>
      <c r="B46" s="65"/>
      <c r="C46" s="65"/>
      <c r="D46" s="65"/>
      <c r="E46" s="65"/>
      <c r="F46" s="65"/>
      <c r="H46" s="5" t="s">
        <v>4</v>
      </c>
      <c r="I46" s="4"/>
      <c r="J46" s="4"/>
      <c r="K46" s="4"/>
      <c r="L46" s="4"/>
      <c r="M46" s="4"/>
      <c r="O46" s="5" t="s">
        <v>4</v>
      </c>
      <c r="P46" s="4"/>
      <c r="Q46" s="4"/>
      <c r="R46" s="4"/>
      <c r="S46" s="4"/>
      <c r="T46" s="4"/>
    </row>
    <row r="47" spans="1:28" x14ac:dyDescent="0.35">
      <c r="A47" s="61"/>
      <c r="B47" s="61"/>
      <c r="C47" s="61"/>
      <c r="D47" s="61"/>
      <c r="E47" s="61"/>
      <c r="F47" s="61"/>
    </row>
    <row r="48" spans="1:28" x14ac:dyDescent="0.35">
      <c r="A48" s="8" t="s">
        <v>11</v>
      </c>
      <c r="B48" s="15" t="s">
        <v>70</v>
      </c>
      <c r="C48" s="15" t="s">
        <v>63</v>
      </c>
    </row>
    <row r="49" spans="1:10" x14ac:dyDescent="0.35">
      <c r="A49" s="15" t="s">
        <v>12</v>
      </c>
      <c r="B49" s="4">
        <v>0</v>
      </c>
      <c r="C49" s="4">
        <v>0</v>
      </c>
    </row>
    <row r="50" spans="1:10" x14ac:dyDescent="0.35">
      <c r="A50" s="16" t="s">
        <v>13</v>
      </c>
      <c r="B50" s="4">
        <f>SQRT(SUM(B7:F7)+(2*SUM(I42:M46)))</f>
        <v>12.150263371631086</v>
      </c>
      <c r="C50" s="4">
        <f>SUM(B5:F5)</f>
        <v>26.43</v>
      </c>
    </row>
    <row r="51" spans="1:10" x14ac:dyDescent="0.35">
      <c r="A51" s="16" t="s">
        <v>14</v>
      </c>
      <c r="B51" s="4">
        <f>SQRT(SUM(B10:F10)+(2*SUM(P42:T46)))</f>
        <v>6.4518911956107878</v>
      </c>
      <c r="C51" s="4">
        <f>SUM(B8:F8)</f>
        <v>6.49</v>
      </c>
    </row>
    <row r="53" spans="1:10" ht="19" x14ac:dyDescent="0.45">
      <c r="A53" s="3" t="s">
        <v>19</v>
      </c>
      <c r="B53" s="17"/>
      <c r="C53" s="17" t="s">
        <v>26</v>
      </c>
      <c r="D53" s="18" t="s">
        <v>30</v>
      </c>
      <c r="E53" s="17"/>
      <c r="F53" s="17" t="s">
        <v>39</v>
      </c>
      <c r="G53" s="17"/>
      <c r="H53" s="18" t="s">
        <v>86</v>
      </c>
      <c r="I53" s="17"/>
      <c r="J53" s="17" t="s">
        <v>42</v>
      </c>
    </row>
    <row r="54" spans="1:10" ht="43.5" x14ac:dyDescent="0.35">
      <c r="A54" s="3"/>
      <c r="B54" s="8" t="s">
        <v>64</v>
      </c>
      <c r="D54" s="17"/>
      <c r="E54" s="8" t="s">
        <v>65</v>
      </c>
      <c r="H54" s="8" t="s">
        <v>75</v>
      </c>
      <c r="I54" s="8" t="s">
        <v>87</v>
      </c>
    </row>
    <row r="55" spans="1:10" x14ac:dyDescent="0.35">
      <c r="A55" s="6" t="s">
        <v>12</v>
      </c>
      <c r="B55" s="4">
        <f>_xlfn.NORM.S.INV(0.95)*SQRT(SUM($K$5:$K$6))*B49</f>
        <v>0</v>
      </c>
      <c r="D55" s="6" t="s">
        <v>12</v>
      </c>
      <c r="E55" s="22">
        <f>((C49*$K$5))/2</f>
        <v>0</v>
      </c>
      <c r="H55" s="6" t="s">
        <v>12</v>
      </c>
      <c r="I55" s="35">
        <f>365*C49*$P$7*($K$4/365)</f>
        <v>0</v>
      </c>
    </row>
    <row r="56" spans="1:10" x14ac:dyDescent="0.35">
      <c r="A56" s="6" t="s">
        <v>13</v>
      </c>
      <c r="B56" s="4">
        <f t="shared" ref="B56:B57" si="23">_xlfn.NORM.S.INV(0.95)*SQRT(SUM($K$5:$K$6))*B50</f>
        <v>66.284088922858146</v>
      </c>
      <c r="D56" s="6" t="s">
        <v>13</v>
      </c>
      <c r="E56" s="22">
        <f>(($K$5*C50))/2</f>
        <v>79.289999999999992</v>
      </c>
      <c r="H56" s="6" t="s">
        <v>13</v>
      </c>
      <c r="I56" s="35">
        <f t="shared" ref="I56:I57" si="24">365*C50*$P$7*($K$4/365)</f>
        <v>4341.1275000000005</v>
      </c>
    </row>
    <row r="57" spans="1:10" x14ac:dyDescent="0.35">
      <c r="A57" s="6" t="s">
        <v>14</v>
      </c>
      <c r="B57" s="4">
        <f t="shared" si="23"/>
        <v>35.197404093230041</v>
      </c>
      <c r="D57" s="6" t="s">
        <v>14</v>
      </c>
      <c r="E57" s="22">
        <f>(($K$5*C51))/2</f>
        <v>19.47</v>
      </c>
      <c r="H57" s="6" t="s">
        <v>14</v>
      </c>
      <c r="I57" s="35">
        <f t="shared" si="24"/>
        <v>1065.9824999999998</v>
      </c>
    </row>
    <row r="58" spans="1:10" x14ac:dyDescent="0.35">
      <c r="D58" s="3"/>
      <c r="E58" s="26"/>
      <c r="F58" s="26"/>
      <c r="G58" s="26"/>
      <c r="H58" s="26"/>
      <c r="I58" s="26"/>
    </row>
    <row r="59" spans="1:10" x14ac:dyDescent="0.35">
      <c r="A59" s="13" t="s">
        <v>76</v>
      </c>
      <c r="B59" s="13" t="s">
        <v>51</v>
      </c>
      <c r="D59" s="3"/>
      <c r="E59" s="45" t="s">
        <v>76</v>
      </c>
      <c r="F59" s="47" t="s">
        <v>47</v>
      </c>
      <c r="G59" s="26"/>
      <c r="H59" s="47" t="s">
        <v>77</v>
      </c>
      <c r="I59" s="26"/>
    </row>
    <row r="60" spans="1:10" x14ac:dyDescent="0.35">
      <c r="A60" s="6" t="s">
        <v>12</v>
      </c>
      <c r="B60" s="36">
        <f>SUM(B30:F30)</f>
        <v>6305.3020000000006</v>
      </c>
      <c r="E60" s="6" t="s">
        <v>12</v>
      </c>
      <c r="F60" s="36">
        <f>SUM(X23:AB23)</f>
        <v>42816.888206211988</v>
      </c>
      <c r="H60" s="36">
        <f>SUM(B60,F60)*O1</f>
        <v>491221.90206211992</v>
      </c>
    </row>
    <row r="61" spans="1:10" x14ac:dyDescent="0.35">
      <c r="A61" s="6" t="s">
        <v>13</v>
      </c>
      <c r="B61" s="36">
        <f t="shared" ref="B61:B62" si="25">C50*365*$K$12</f>
        <v>2797.6154999999999</v>
      </c>
      <c r="E61" s="6" t="s">
        <v>13</v>
      </c>
      <c r="F61" s="36">
        <f t="shared" ref="F61:F62" si="26">(SUM(B56,E56)*$K$4) + I56</f>
        <v>12311.308868526485</v>
      </c>
      <c r="H61" s="36">
        <f>SUM(B61,F61)*O2</f>
        <v>302178.48737052968</v>
      </c>
    </row>
    <row r="62" spans="1:10" x14ac:dyDescent="0.35">
      <c r="A62" s="6" t="s">
        <v>14</v>
      </c>
      <c r="B62" s="36">
        <f t="shared" si="25"/>
        <v>686.96649999999988</v>
      </c>
      <c r="E62" s="6" t="s">
        <v>14</v>
      </c>
      <c r="F62" s="36">
        <f t="shared" si="26"/>
        <v>4059.0228741043447</v>
      </c>
      <c r="H62" s="36">
        <f>SUM(B62,F62)*O3</f>
        <v>332219.2561873041</v>
      </c>
    </row>
    <row r="63" spans="1:10" x14ac:dyDescent="0.35">
      <c r="G63" s="21" t="s">
        <v>66</v>
      </c>
      <c r="H63" s="54">
        <f>SUM(H60:H62)</f>
        <v>1125619.6456199537</v>
      </c>
    </row>
    <row r="64" spans="1:10" ht="15" customHeight="1" x14ac:dyDescent="0.35">
      <c r="G64" s="21"/>
      <c r="H64" s="53"/>
    </row>
    <row r="65" spans="1:8" x14ac:dyDescent="0.35">
      <c r="G65" s="21"/>
      <c r="H65" s="53"/>
    </row>
    <row r="66" spans="1:8" x14ac:dyDescent="0.35">
      <c r="A66" s="13" t="s">
        <v>78</v>
      </c>
      <c r="B66" s="45" t="s">
        <v>79</v>
      </c>
      <c r="H66" s="34"/>
    </row>
    <row r="67" spans="1:8" x14ac:dyDescent="0.35">
      <c r="A67">
        <f>C49*365*O1</f>
        <v>0</v>
      </c>
    </row>
    <row r="68" spans="1:8" x14ac:dyDescent="0.35">
      <c r="A68">
        <f>C50*365*O2</f>
        <v>192939</v>
      </c>
    </row>
    <row r="69" spans="1:8" x14ac:dyDescent="0.35">
      <c r="A69">
        <f>C51*365*O3</f>
        <v>165819.5</v>
      </c>
    </row>
    <row r="70" spans="1:8" x14ac:dyDescent="0.35">
      <c r="A70" s="48">
        <f>SUM(A67:A69)</f>
        <v>358758.5</v>
      </c>
      <c r="E70" s="40"/>
    </row>
    <row r="71" spans="1:8" x14ac:dyDescent="0.35">
      <c r="A71" s="4">
        <f>A70/1000</f>
        <v>358.75850000000003</v>
      </c>
      <c r="B71" s="49">
        <f xml:space="preserve"> -0.0009*(A71^3) + 0.3998*(A71^2) + 2000.5*(A71) + 396.83</f>
        <v>727993.06148360495</v>
      </c>
    </row>
    <row r="73" spans="1:8" x14ac:dyDescent="0.35">
      <c r="A73" s="40" t="s">
        <v>80</v>
      </c>
      <c r="D73" s="40"/>
    </row>
    <row r="74" spans="1:8" x14ac:dyDescent="0.35">
      <c r="A74" s="48" t="s">
        <v>81</v>
      </c>
      <c r="B74" s="48" t="s">
        <v>84</v>
      </c>
      <c r="D74" s="48" t="s">
        <v>88</v>
      </c>
      <c r="E74" s="40"/>
    </row>
    <row r="75" spans="1:8" x14ac:dyDescent="0.35">
      <c r="A75" s="4">
        <v>0</v>
      </c>
      <c r="B75" s="55">
        <f>PMT($O$5,3,$B$71)</f>
        <v>-303099.16900309332</v>
      </c>
      <c r="D75" s="52">
        <f>O33-H63</f>
        <v>249075.97238155524</v>
      </c>
      <c r="E75" s="50"/>
    </row>
    <row r="76" spans="1:8" x14ac:dyDescent="0.35">
      <c r="A76" s="4">
        <v>1</v>
      </c>
      <c r="B76" s="55">
        <f>PMT($O$5,3,$B$71)</f>
        <v>-303099.16900309332</v>
      </c>
      <c r="E76" s="50"/>
    </row>
    <row r="77" spans="1:8" x14ac:dyDescent="0.35">
      <c r="A77" s="4">
        <v>2</v>
      </c>
      <c r="B77" s="55">
        <f>PMT($O$5,3,$B$71)</f>
        <v>-303099.16900309332</v>
      </c>
      <c r="D77" t="s">
        <v>89</v>
      </c>
      <c r="E77" s="50"/>
    </row>
    <row r="78" spans="1:8" x14ac:dyDescent="0.35">
      <c r="A78" s="4">
        <v>3</v>
      </c>
      <c r="B78" s="55">
        <v>0</v>
      </c>
      <c r="D78" s="66">
        <f>B79/D75</f>
        <v>-3.2735081632547569</v>
      </c>
      <c r="E78" s="50"/>
    </row>
    <row r="79" spans="1:8" x14ac:dyDescent="0.35">
      <c r="A79" s="56" t="s">
        <v>82</v>
      </c>
      <c r="B79" s="55">
        <f>NPV(O5, B76:B78)+B75</f>
        <v>-815352.22886163741</v>
      </c>
      <c r="E79" s="34"/>
    </row>
    <row r="80" spans="1:8" x14ac:dyDescent="0.35">
      <c r="D80" t="s">
        <v>90</v>
      </c>
      <c r="E80" s="50"/>
    </row>
    <row r="81" spans="1:5" x14ac:dyDescent="0.35">
      <c r="E81" s="50"/>
    </row>
    <row r="82" spans="1:5" x14ac:dyDescent="0.35">
      <c r="D82" s="51"/>
      <c r="E82" s="50"/>
    </row>
    <row r="83" spans="1:5" x14ac:dyDescent="0.35">
      <c r="A83" t="s">
        <v>102</v>
      </c>
    </row>
  </sheetData>
  <pageMargins left="0.7" right="0.7" top="0.75" bottom="0.75" header="0.3" footer="0.3"/>
  <pageSetup orientation="portrait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0"/>
  <sheetViews>
    <sheetView topLeftCell="A64" zoomScaleNormal="100" workbookViewId="0">
      <selection activeCell="B77" sqref="B77"/>
    </sheetView>
  </sheetViews>
  <sheetFormatPr defaultRowHeight="14.5" x14ac:dyDescent="0.35"/>
  <cols>
    <col min="1" max="1" width="18.54296875" customWidth="1"/>
    <col min="2" max="2" width="13.90625" bestFit="1" customWidth="1"/>
    <col min="3" max="3" width="11.36328125" customWidth="1"/>
    <col min="4" max="4" width="12.6328125" customWidth="1"/>
    <col min="5" max="5" width="16.81640625" customWidth="1"/>
    <col min="6" max="6" width="16.90625" customWidth="1"/>
    <col min="7" max="7" width="13.453125" customWidth="1"/>
    <col min="8" max="8" width="14.90625" bestFit="1" customWidth="1"/>
    <col min="9" max="9" width="11.08984375" bestFit="1" customWidth="1"/>
    <col min="10" max="12" width="12.1796875" bestFit="1" customWidth="1"/>
    <col min="13" max="13" width="15.453125" customWidth="1"/>
    <col min="14" max="14" width="12.1796875" bestFit="1" customWidth="1"/>
    <col min="15" max="15" width="14.90625" bestFit="1" customWidth="1"/>
    <col min="17" max="17" width="12.1796875" bestFit="1" customWidth="1"/>
    <col min="18" max="18" width="14.1796875" customWidth="1"/>
    <col min="19" max="19" width="14.08984375" customWidth="1"/>
    <col min="20" max="20" width="13" customWidth="1"/>
    <col min="21" max="21" width="13.6328125" customWidth="1"/>
    <col min="24" max="28" width="12.1796875" bestFit="1" customWidth="1"/>
    <col min="30" max="30" width="10.1796875" bestFit="1" customWidth="1"/>
  </cols>
  <sheetData>
    <row r="1" spans="1:30" ht="15" thickBot="1" x14ac:dyDescent="0.4">
      <c r="A1" s="1"/>
      <c r="B1" s="8" t="s">
        <v>0</v>
      </c>
      <c r="C1" s="8" t="s">
        <v>1</v>
      </c>
      <c r="D1" s="8" t="s">
        <v>2</v>
      </c>
      <c r="E1" s="8" t="s">
        <v>3</v>
      </c>
      <c r="F1" s="8" t="s">
        <v>4</v>
      </c>
      <c r="I1" s="41" t="s">
        <v>49</v>
      </c>
      <c r="J1" t="s">
        <v>52</v>
      </c>
      <c r="K1" s="34">
        <v>0.09</v>
      </c>
      <c r="L1" s="43" t="s">
        <v>54</v>
      </c>
      <c r="N1" s="21" t="s">
        <v>58</v>
      </c>
      <c r="O1">
        <v>10</v>
      </c>
    </row>
    <row r="2" spans="1:30" ht="15" thickBot="1" x14ac:dyDescent="0.4">
      <c r="A2" s="9" t="s">
        <v>5</v>
      </c>
      <c r="B2" s="2">
        <v>35.479999999999997</v>
      </c>
      <c r="C2" s="2">
        <v>22.61</v>
      </c>
      <c r="D2" s="2">
        <v>17.66</v>
      </c>
      <c r="E2" s="2">
        <v>11.81</v>
      </c>
      <c r="F2" s="2">
        <v>3.36</v>
      </c>
      <c r="I2" s="21" t="s">
        <v>50</v>
      </c>
      <c r="J2" t="s">
        <v>53</v>
      </c>
      <c r="K2" s="34">
        <v>0.1</v>
      </c>
      <c r="L2" s="43" t="s">
        <v>54</v>
      </c>
      <c r="N2" s="21" t="s">
        <v>59</v>
      </c>
      <c r="O2">
        <v>20</v>
      </c>
    </row>
    <row r="3" spans="1:30" ht="15" thickBot="1" x14ac:dyDescent="0.4">
      <c r="A3" s="9" t="s">
        <v>6</v>
      </c>
      <c r="B3" s="2">
        <v>6.98</v>
      </c>
      <c r="C3" s="2">
        <v>6.48</v>
      </c>
      <c r="D3" s="2">
        <v>5.26</v>
      </c>
      <c r="E3" s="2">
        <v>3.48</v>
      </c>
      <c r="F3" s="2">
        <v>4.49</v>
      </c>
      <c r="I3" s="21" t="s">
        <v>51</v>
      </c>
      <c r="K3" s="42">
        <f>SUM(K1:K2)</f>
        <v>0.19</v>
      </c>
      <c r="L3" s="43" t="s">
        <v>54</v>
      </c>
      <c r="N3" s="21" t="s">
        <v>60</v>
      </c>
      <c r="O3">
        <v>70</v>
      </c>
    </row>
    <row r="4" spans="1:30" ht="15" thickBot="1" x14ac:dyDescent="0.4">
      <c r="A4" s="9" t="s">
        <v>15</v>
      </c>
      <c r="B4" s="2">
        <f>B3^2</f>
        <v>48.720400000000005</v>
      </c>
      <c r="C4" s="2">
        <f t="shared" ref="C4:F4" si="0">C3^2</f>
        <v>41.990400000000008</v>
      </c>
      <c r="D4" s="2">
        <f t="shared" si="0"/>
        <v>27.667599999999997</v>
      </c>
      <c r="E4" s="2">
        <f t="shared" si="0"/>
        <v>12.1104</v>
      </c>
      <c r="F4" s="2">
        <f t="shared" si="0"/>
        <v>20.160100000000003</v>
      </c>
      <c r="I4" s="21" t="s">
        <v>36</v>
      </c>
      <c r="J4" t="s">
        <v>37</v>
      </c>
      <c r="K4" s="34">
        <f>0.15*365</f>
        <v>54.75</v>
      </c>
      <c r="L4" t="s">
        <v>38</v>
      </c>
      <c r="N4" s="34"/>
    </row>
    <row r="5" spans="1:30" ht="15" thickBot="1" x14ac:dyDescent="0.4">
      <c r="A5" s="9" t="s">
        <v>7</v>
      </c>
      <c r="B5" s="2">
        <v>2.48</v>
      </c>
      <c r="C5" s="2">
        <v>4.1500000000000004</v>
      </c>
      <c r="D5" s="2">
        <v>6.15</v>
      </c>
      <c r="E5" s="2">
        <v>6.16</v>
      </c>
      <c r="F5" s="2">
        <v>7.49</v>
      </c>
      <c r="I5" s="21" t="s">
        <v>21</v>
      </c>
      <c r="J5" t="s">
        <v>24</v>
      </c>
      <c r="K5">
        <v>6</v>
      </c>
      <c r="L5" t="s">
        <v>22</v>
      </c>
      <c r="N5" t="s">
        <v>91</v>
      </c>
      <c r="O5" s="57">
        <v>0.12</v>
      </c>
    </row>
    <row r="6" spans="1:30" ht="25.5" thickBot="1" x14ac:dyDescent="0.55000000000000004">
      <c r="A6" s="9" t="s">
        <v>8</v>
      </c>
      <c r="B6" s="2">
        <v>3.16</v>
      </c>
      <c r="C6" s="2">
        <v>6.2</v>
      </c>
      <c r="D6" s="2">
        <v>6.39</v>
      </c>
      <c r="E6" s="2">
        <v>6.76</v>
      </c>
      <c r="F6" s="2">
        <v>3.56</v>
      </c>
      <c r="I6" s="21" t="s">
        <v>23</v>
      </c>
      <c r="J6" t="s">
        <v>25</v>
      </c>
      <c r="K6">
        <v>5</v>
      </c>
      <c r="L6" t="s">
        <v>22</v>
      </c>
      <c r="N6" s="23"/>
    </row>
    <row r="7" spans="1:30" ht="15" thickBot="1" x14ac:dyDescent="0.4">
      <c r="A7" s="9" t="s">
        <v>16</v>
      </c>
      <c r="B7" s="2">
        <f>B6^2</f>
        <v>9.9856000000000016</v>
      </c>
      <c r="C7" s="2">
        <f t="shared" ref="C7:F7" si="1">C6^2</f>
        <v>38.440000000000005</v>
      </c>
      <c r="D7" s="2">
        <f t="shared" si="1"/>
        <v>40.832099999999997</v>
      </c>
      <c r="E7" s="2">
        <f t="shared" si="1"/>
        <v>45.697599999999994</v>
      </c>
      <c r="F7" s="2">
        <f t="shared" si="1"/>
        <v>12.6736</v>
      </c>
      <c r="I7" s="21" t="s">
        <v>72</v>
      </c>
      <c r="K7" s="24">
        <v>4</v>
      </c>
      <c r="L7" t="s">
        <v>22</v>
      </c>
      <c r="M7" s="25" t="s">
        <v>29</v>
      </c>
      <c r="O7" s="21" t="s">
        <v>73</v>
      </c>
      <c r="P7" s="24">
        <v>3</v>
      </c>
      <c r="Q7" t="s">
        <v>22</v>
      </c>
    </row>
    <row r="8" spans="1:30" ht="15" thickBot="1" x14ac:dyDescent="0.4">
      <c r="A8" s="9" t="s">
        <v>9</v>
      </c>
      <c r="B8" s="2">
        <v>0.48</v>
      </c>
      <c r="C8" s="2">
        <v>0.73</v>
      </c>
      <c r="D8" s="2">
        <v>0.8</v>
      </c>
      <c r="E8" s="2">
        <v>1.94</v>
      </c>
      <c r="F8" s="2">
        <v>2.54</v>
      </c>
      <c r="H8" s="11" t="s">
        <v>18</v>
      </c>
    </row>
    <row r="9" spans="1:30" ht="15" thickBot="1" x14ac:dyDescent="0.4">
      <c r="A9" s="9" t="s">
        <v>10</v>
      </c>
      <c r="B9" s="2">
        <v>1.98</v>
      </c>
      <c r="C9" s="2">
        <v>1.42</v>
      </c>
      <c r="D9" s="2">
        <v>2.39</v>
      </c>
      <c r="E9" s="2">
        <v>3.76</v>
      </c>
      <c r="F9" s="2">
        <v>3.98</v>
      </c>
      <c r="H9" s="12">
        <v>0</v>
      </c>
    </row>
    <row r="10" spans="1:30" x14ac:dyDescent="0.35">
      <c r="A10" s="10" t="s">
        <v>17</v>
      </c>
      <c r="B10" s="2">
        <f>B9^2</f>
        <v>3.9203999999999999</v>
      </c>
      <c r="C10" s="2">
        <f t="shared" ref="C10:F10" si="2">C9^2</f>
        <v>2.0164</v>
      </c>
      <c r="D10" s="2">
        <f t="shared" si="2"/>
        <v>5.7121000000000004</v>
      </c>
      <c r="E10" s="2">
        <f t="shared" si="2"/>
        <v>14.137599999999999</v>
      </c>
      <c r="F10" s="2">
        <f t="shared" si="2"/>
        <v>15.840400000000001</v>
      </c>
      <c r="H10" s="7"/>
      <c r="I10" s="21" t="s">
        <v>68</v>
      </c>
      <c r="K10" s="34">
        <f>0.05</f>
        <v>0.05</v>
      </c>
      <c r="L10" t="s">
        <v>54</v>
      </c>
    </row>
    <row r="11" spans="1:30" x14ac:dyDescent="0.35">
      <c r="I11" s="21" t="s">
        <v>69</v>
      </c>
      <c r="K11" s="34">
        <v>0.24</v>
      </c>
      <c r="L11" t="s">
        <v>54</v>
      </c>
    </row>
    <row r="12" spans="1:30" s="17" customFormat="1" x14ac:dyDescent="0.35">
      <c r="A12" s="3"/>
      <c r="I12" s="21" t="s">
        <v>67</v>
      </c>
      <c r="K12" s="46">
        <f>SUM(K10:K11)</f>
        <v>0.28999999999999998</v>
      </c>
      <c r="L12" t="s">
        <v>54</v>
      </c>
    </row>
    <row r="13" spans="1:30" s="31" customFormat="1" x14ac:dyDescent="0.35">
      <c r="A13" s="30" t="s">
        <v>33</v>
      </c>
    </row>
    <row r="14" spans="1:30" s="17" customFormat="1" ht="19" x14ac:dyDescent="0.45">
      <c r="A14" s="3" t="s">
        <v>19</v>
      </c>
      <c r="D14" s="17" t="s">
        <v>26</v>
      </c>
      <c r="I14" s="18" t="s">
        <v>30</v>
      </c>
      <c r="M14" s="17" t="s">
        <v>71</v>
      </c>
      <c r="P14" s="18"/>
      <c r="W14" s="26"/>
      <c r="X14" s="26"/>
      <c r="Y14" s="26"/>
      <c r="Z14" s="26"/>
      <c r="AA14" s="26"/>
      <c r="AB14" s="26"/>
      <c r="AD14" s="24" t="s">
        <v>31</v>
      </c>
    </row>
    <row r="15" spans="1:30" s="17" customFormat="1" ht="29" x14ac:dyDescent="0.35">
      <c r="A15" s="3"/>
      <c r="B15" s="8" t="s">
        <v>0</v>
      </c>
      <c r="C15" s="8" t="s">
        <v>1</v>
      </c>
      <c r="D15" s="8" t="s">
        <v>2</v>
      </c>
      <c r="E15" s="8" t="s">
        <v>3</v>
      </c>
      <c r="F15" s="8" t="s">
        <v>4</v>
      </c>
      <c r="G15" s="19" t="s">
        <v>20</v>
      </c>
      <c r="J15" s="8" t="s">
        <v>0</v>
      </c>
      <c r="K15" s="8" t="s">
        <v>1</v>
      </c>
      <c r="L15" s="8" t="s">
        <v>2</v>
      </c>
      <c r="M15" s="8" t="s">
        <v>3</v>
      </c>
      <c r="N15" s="8" t="s">
        <v>4</v>
      </c>
      <c r="P15" s="26"/>
      <c r="Q15" s="39"/>
      <c r="R15" s="39"/>
      <c r="S15" s="39"/>
      <c r="T15" s="39"/>
      <c r="U15" s="39"/>
      <c r="W15" s="26"/>
      <c r="X15" s="39"/>
      <c r="Y15" s="39"/>
      <c r="Z15" s="39"/>
      <c r="AA15" s="39"/>
      <c r="AB15" s="39"/>
      <c r="AD15" s="24"/>
    </row>
    <row r="16" spans="1:30" s="17" customFormat="1" x14ac:dyDescent="0.35">
      <c r="A16" s="6" t="s">
        <v>12</v>
      </c>
      <c r="B16" s="4">
        <f>_xlfn.NORM.S.INV(0.95)*SQRT(SUM($K$5:$K$6))*B3</f>
        <v>38.07842896325964</v>
      </c>
      <c r="C16" s="4">
        <f>_xlfn.NORM.S.INV(0.95)*SQRT(SUM($K$5:$K$6))*C3</f>
        <v>35.350747805433016</v>
      </c>
      <c r="D16" s="4">
        <f>_xlfn.NORM.S.INV(0.95)*SQRT(SUM($K$5:$K$6))*D3</f>
        <v>28.695205780336057</v>
      </c>
      <c r="E16" s="4">
        <f>_xlfn.NORM.S.INV(0.95)*SQRT(SUM($K$5:$K$6))*E3</f>
        <v>18.984660858473287</v>
      </c>
      <c r="F16" s="4">
        <f>_xlfn.NORM.S.INV(0.95)*SQRT(SUM($K$5:$K$6))*F3</f>
        <v>24.494576797283063</v>
      </c>
      <c r="G16" s="20">
        <f>SUM(B16:F16)</f>
        <v>145.60362020478507</v>
      </c>
      <c r="I16" s="6" t="s">
        <v>12</v>
      </c>
      <c r="J16" s="22">
        <f>((B2*$K$5))/2</f>
        <v>106.44</v>
      </c>
      <c r="K16" s="22">
        <f t="shared" ref="K16:N16" si="3">((C2*$K$5))/2</f>
        <v>67.83</v>
      </c>
      <c r="L16" s="22">
        <f t="shared" si="3"/>
        <v>52.980000000000004</v>
      </c>
      <c r="M16" s="22">
        <f t="shared" si="3"/>
        <v>35.43</v>
      </c>
      <c r="N16" s="22">
        <f t="shared" si="3"/>
        <v>10.08</v>
      </c>
      <c r="P16" s="3"/>
      <c r="Q16" s="58"/>
      <c r="R16" s="26"/>
      <c r="S16" s="26"/>
      <c r="T16" s="26"/>
      <c r="U16" s="26"/>
      <c r="W16" s="3"/>
      <c r="X16" s="26"/>
      <c r="Y16" s="26"/>
      <c r="Z16" s="26"/>
      <c r="AA16" s="26"/>
      <c r="AB16" s="26"/>
      <c r="AD16" s="27">
        <f>X16*0.15</f>
        <v>0</v>
      </c>
    </row>
    <row r="17" spans="1:28" s="17" customFormat="1" x14ac:dyDescent="0.35">
      <c r="A17" s="6" t="s">
        <v>13</v>
      </c>
      <c r="B17" s="4">
        <f>_xlfn.NORM.S.INV(0.95)*SQRT(SUM($K$5:$K$6))*B6</f>
        <v>17.238944917464249</v>
      </c>
      <c r="C17" s="4">
        <f>_xlfn.NORM.S.INV(0.95)*SQRT(SUM($K$5:$K$6))*C6</f>
        <v>33.82324635705011</v>
      </c>
      <c r="D17" s="4">
        <f>_xlfn.NORM.S.INV(0.95)*SQRT(SUM($K$5:$K$6))*D6</f>
        <v>34.859765197024224</v>
      </c>
      <c r="E17" s="4">
        <f>_xlfn.NORM.S.INV(0.95)*SQRT(SUM($K$5:$K$6))*E6</f>
        <v>36.878249253815923</v>
      </c>
      <c r="F17" s="4">
        <f>_xlfn.NORM.S.INV(0.95)*SQRT(SUM($K$5:$K$6))*F6</f>
        <v>19.421089843725547</v>
      </c>
      <c r="G17" s="20">
        <f t="shared" ref="G17:G18" si="4">SUM(B17:F17)</f>
        <v>142.22129556908004</v>
      </c>
      <c r="I17" s="6" t="s">
        <v>13</v>
      </c>
      <c r="J17" s="22">
        <f>(($K$5*B5))/2</f>
        <v>7.4399999999999995</v>
      </c>
      <c r="K17" s="22">
        <f t="shared" ref="K17:N17" si="5">(($K$5*C5))/2</f>
        <v>12.450000000000001</v>
      </c>
      <c r="L17" s="22">
        <f t="shared" si="5"/>
        <v>18.450000000000003</v>
      </c>
      <c r="M17" s="22">
        <f t="shared" si="5"/>
        <v>18.48</v>
      </c>
      <c r="N17" s="22">
        <f t="shared" si="5"/>
        <v>22.47</v>
      </c>
      <c r="P17" s="3"/>
      <c r="Q17" s="26"/>
      <c r="R17" s="26"/>
      <c r="S17" s="26"/>
      <c r="T17" s="26"/>
      <c r="U17" s="26"/>
      <c r="W17" s="3"/>
      <c r="X17" s="26"/>
      <c r="Y17" s="26"/>
      <c r="Z17" s="26"/>
      <c r="AA17" s="26"/>
      <c r="AB17" s="26"/>
    </row>
    <row r="18" spans="1:28" s="17" customFormat="1" x14ac:dyDescent="0.35">
      <c r="A18" s="6" t="s">
        <v>14</v>
      </c>
      <c r="B18" s="4">
        <f>_xlfn.NORM.S.INV(0.95)*SQRT(SUM($K$5:$K$6))*B9</f>
        <v>10.801617384993421</v>
      </c>
      <c r="C18" s="4">
        <f t="shared" ref="C18:F18" si="6">_xlfn.NORM.S.INV(0.95)*SQRT(SUM($K$5:$K$6))*C9</f>
        <v>7.7466144882276051</v>
      </c>
      <c r="D18" s="4">
        <f t="shared" si="6"/>
        <v>13.038315934411251</v>
      </c>
      <c r="E18" s="4">
        <f t="shared" si="6"/>
        <v>20.512162306856194</v>
      </c>
      <c r="F18" s="4">
        <f t="shared" si="6"/>
        <v>21.712342016299907</v>
      </c>
      <c r="G18" s="20">
        <f t="shared" si="4"/>
        <v>73.811052130788369</v>
      </c>
      <c r="I18" s="6" t="s">
        <v>14</v>
      </c>
      <c r="J18" s="22">
        <f>(($K$5*B8))/2</f>
        <v>1.44</v>
      </c>
      <c r="K18" s="22">
        <f t="shared" ref="K18:N18" si="7">(($K$5*C8))/2</f>
        <v>2.19</v>
      </c>
      <c r="L18" s="22">
        <f t="shared" si="7"/>
        <v>2.4000000000000004</v>
      </c>
      <c r="M18" s="22">
        <f t="shared" si="7"/>
        <v>5.82</v>
      </c>
      <c r="N18" s="22">
        <f t="shared" si="7"/>
        <v>7.62</v>
      </c>
      <c r="P18" s="3"/>
      <c r="Q18" s="26"/>
      <c r="R18" s="26"/>
      <c r="S18" s="26"/>
      <c r="T18" s="26"/>
      <c r="U18" s="26"/>
      <c r="W18" s="3"/>
      <c r="X18" s="26"/>
      <c r="Y18" s="26"/>
      <c r="Z18" s="26"/>
      <c r="AA18" s="26"/>
      <c r="AB18" s="26"/>
    </row>
    <row r="19" spans="1:28" s="17" customFormat="1" x14ac:dyDescent="0.35">
      <c r="A19" s="3"/>
      <c r="B19" s="28"/>
      <c r="C19" s="28"/>
      <c r="D19" s="28"/>
      <c r="E19" s="28"/>
      <c r="F19" s="28"/>
      <c r="G19" s="29"/>
      <c r="I19" s="3"/>
      <c r="J19" s="26"/>
      <c r="K19" s="26"/>
      <c r="L19" s="26"/>
      <c r="M19" s="26"/>
      <c r="N19" s="26"/>
      <c r="P19" s="3"/>
      <c r="Q19" s="26"/>
      <c r="R19" s="26"/>
      <c r="S19" s="26"/>
      <c r="T19" s="26"/>
      <c r="U19" s="26"/>
      <c r="W19" s="3"/>
      <c r="X19" s="26"/>
      <c r="Y19" s="26"/>
      <c r="Z19" s="26"/>
      <c r="AA19" s="26"/>
      <c r="AB19" s="26"/>
    </row>
    <row r="20" spans="1:28" s="17" customFormat="1" x14ac:dyDescent="0.35">
      <c r="A20" s="3"/>
      <c r="B20" s="28"/>
      <c r="C20" s="28"/>
      <c r="D20" s="28"/>
      <c r="E20" s="28"/>
      <c r="F20" s="28"/>
      <c r="G20" s="29"/>
      <c r="I20" s="3"/>
      <c r="J20" s="26"/>
      <c r="K20" s="26"/>
      <c r="L20" s="26"/>
      <c r="M20" s="26"/>
      <c r="N20" s="26"/>
      <c r="P20" s="3"/>
      <c r="Q20" s="26"/>
      <c r="R20" s="26"/>
      <c r="S20" s="26"/>
      <c r="T20" s="26"/>
      <c r="U20" s="26"/>
      <c r="W20" s="3"/>
      <c r="X20" s="26"/>
      <c r="Y20" s="26"/>
      <c r="Z20" s="26"/>
      <c r="AA20" s="26"/>
      <c r="AB20" s="26"/>
    </row>
    <row r="21" spans="1:28" s="17" customFormat="1" x14ac:dyDescent="0.35">
      <c r="A21" s="3" t="s">
        <v>46</v>
      </c>
      <c r="D21" s="17" t="s">
        <v>62</v>
      </c>
      <c r="I21" s="18" t="s">
        <v>43</v>
      </c>
      <c r="M21" s="17" t="s">
        <v>45</v>
      </c>
      <c r="P21" s="18" t="s">
        <v>44</v>
      </c>
      <c r="W21" s="3" t="s">
        <v>47</v>
      </c>
      <c r="X21" s="26"/>
      <c r="Y21" s="26"/>
      <c r="Z21" s="26"/>
      <c r="AA21" s="26"/>
      <c r="AB21" s="26"/>
    </row>
    <row r="22" spans="1:28" s="17" customFormat="1" x14ac:dyDescent="0.35">
      <c r="A22" s="3"/>
      <c r="B22" s="8" t="s">
        <v>0</v>
      </c>
      <c r="C22" s="8" t="s">
        <v>1</v>
      </c>
      <c r="D22" s="8" t="s">
        <v>2</v>
      </c>
      <c r="E22" s="8" t="s">
        <v>3</v>
      </c>
      <c r="F22" s="8" t="s">
        <v>4</v>
      </c>
      <c r="G22" s="38"/>
      <c r="J22" s="8" t="s">
        <v>0</v>
      </c>
      <c r="K22" s="8" t="s">
        <v>1</v>
      </c>
      <c r="L22" s="8" t="s">
        <v>2</v>
      </c>
      <c r="M22" s="8" t="s">
        <v>3</v>
      </c>
      <c r="N22" s="8" t="s">
        <v>4</v>
      </c>
      <c r="Q22" s="8" t="s">
        <v>0</v>
      </c>
      <c r="R22" s="8" t="s">
        <v>1</v>
      </c>
      <c r="S22" s="8" t="s">
        <v>2</v>
      </c>
      <c r="T22" s="8" t="s">
        <v>3</v>
      </c>
      <c r="U22" s="8" t="s">
        <v>4</v>
      </c>
      <c r="X22" s="8" t="s">
        <v>0</v>
      </c>
      <c r="Y22" s="8" t="s">
        <v>1</v>
      </c>
      <c r="Z22" s="8" t="s">
        <v>2</v>
      </c>
      <c r="AA22" s="8" t="s">
        <v>3</v>
      </c>
      <c r="AB22" s="8" t="s">
        <v>4</v>
      </c>
    </row>
    <row r="23" spans="1:28" s="17" customFormat="1" x14ac:dyDescent="0.35">
      <c r="A23" s="6" t="s">
        <v>12</v>
      </c>
      <c r="B23" s="36">
        <f>B16*$K$4</f>
        <v>2084.7939857384654</v>
      </c>
      <c r="C23" s="36">
        <f t="shared" ref="C23:F23" si="8">C16*$K$4</f>
        <v>1935.4534423474577</v>
      </c>
      <c r="D23" s="36">
        <f t="shared" si="8"/>
        <v>1571.062516473399</v>
      </c>
      <c r="E23" s="36">
        <f t="shared" si="8"/>
        <v>1039.4101820014125</v>
      </c>
      <c r="F23" s="36">
        <f t="shared" si="8"/>
        <v>1341.0780796512477</v>
      </c>
      <c r="G23" s="37"/>
      <c r="I23" s="6" t="s">
        <v>12</v>
      </c>
      <c r="J23" s="35">
        <f>J16*$K$4</f>
        <v>5827.59</v>
      </c>
      <c r="K23" s="35">
        <f t="shared" ref="K23:N23" si="9">K16*$K$4</f>
        <v>3713.6925000000001</v>
      </c>
      <c r="L23" s="35">
        <f t="shared" si="9"/>
        <v>2900.6550000000002</v>
      </c>
      <c r="M23" s="35">
        <f t="shared" si="9"/>
        <v>1939.7925</v>
      </c>
      <c r="N23" s="35">
        <f t="shared" si="9"/>
        <v>551.88</v>
      </c>
      <c r="P23" s="6" t="s">
        <v>12</v>
      </c>
      <c r="Q23" s="35">
        <f>365*B2*$K$7*($K$4/365)</f>
        <v>7770.119999999999</v>
      </c>
      <c r="R23" s="35">
        <f t="shared" ref="R23:U23" si="10">365*C2*$K$7*($K$4/365)</f>
        <v>4951.5899999999992</v>
      </c>
      <c r="S23" s="35">
        <f t="shared" si="10"/>
        <v>3867.5399999999995</v>
      </c>
      <c r="T23" s="35">
        <f t="shared" si="10"/>
        <v>2586.3900000000003</v>
      </c>
      <c r="U23" s="35">
        <f t="shared" si="10"/>
        <v>735.83999999999992</v>
      </c>
      <c r="W23" s="6" t="s">
        <v>12</v>
      </c>
      <c r="X23" s="35">
        <f>Q23+J23+B23</f>
        <v>15682.503985738465</v>
      </c>
      <c r="Y23" s="35">
        <f t="shared" ref="Y23:AB25" si="11">R23+K23+C23</f>
        <v>10600.735942347457</v>
      </c>
      <c r="Z23" s="35">
        <f t="shared" si="11"/>
        <v>8339.2575164733989</v>
      </c>
      <c r="AA23" s="35">
        <f t="shared" si="11"/>
        <v>5565.5926820014138</v>
      </c>
      <c r="AB23" s="35">
        <f t="shared" si="11"/>
        <v>2628.7980796512475</v>
      </c>
    </row>
    <row r="24" spans="1:28" s="17" customFormat="1" x14ac:dyDescent="0.35">
      <c r="A24" s="6" t="s">
        <v>13</v>
      </c>
      <c r="B24" s="36">
        <f t="shared" ref="B24:F25" si="12">B17*$K$4</f>
        <v>943.8322342311676</v>
      </c>
      <c r="C24" s="36">
        <f t="shared" si="12"/>
        <v>1851.8227380484934</v>
      </c>
      <c r="D24" s="36">
        <f t="shared" si="12"/>
        <v>1908.5721445370762</v>
      </c>
      <c r="E24" s="36">
        <f t="shared" si="12"/>
        <v>2019.0841466464217</v>
      </c>
      <c r="F24" s="36">
        <f t="shared" si="12"/>
        <v>1063.3046689439736</v>
      </c>
      <c r="G24" s="37"/>
      <c r="I24" s="6" t="s">
        <v>13</v>
      </c>
      <c r="J24" s="35">
        <f t="shared" ref="J24:N25" si="13">J17*$K$4</f>
        <v>407.34</v>
      </c>
      <c r="K24" s="35">
        <f t="shared" si="13"/>
        <v>681.63750000000005</v>
      </c>
      <c r="L24" s="35">
        <f t="shared" si="13"/>
        <v>1010.1375000000002</v>
      </c>
      <c r="M24" s="35">
        <f t="shared" si="13"/>
        <v>1011.78</v>
      </c>
      <c r="N24" s="35">
        <f t="shared" si="13"/>
        <v>1230.2324999999998</v>
      </c>
      <c r="P24" s="6" t="s">
        <v>13</v>
      </c>
      <c r="Q24" s="35">
        <f>365*B5*$K$7*($K$4/365)</f>
        <v>543.12</v>
      </c>
      <c r="R24" s="35">
        <f t="shared" ref="R24:U24" si="14">365*C5*$K$7*($K$4/365)</f>
        <v>908.85000000000014</v>
      </c>
      <c r="S24" s="35">
        <f t="shared" si="14"/>
        <v>1346.85</v>
      </c>
      <c r="T24" s="35">
        <f t="shared" si="14"/>
        <v>1349.04</v>
      </c>
      <c r="U24" s="35">
        <f t="shared" si="14"/>
        <v>1640.31</v>
      </c>
      <c r="W24" s="6" t="s">
        <v>13</v>
      </c>
      <c r="X24" s="35">
        <f t="shared" ref="X24:X25" si="15">Q24+J24+B24</f>
        <v>1894.2922342311676</v>
      </c>
      <c r="Y24" s="35">
        <f t="shared" si="11"/>
        <v>3442.3102380484934</v>
      </c>
      <c r="Z24" s="35">
        <f t="shared" si="11"/>
        <v>4265.5596445370766</v>
      </c>
      <c r="AA24" s="35">
        <f t="shared" si="11"/>
        <v>4379.9041466464214</v>
      </c>
      <c r="AB24" s="35">
        <f t="shared" si="11"/>
        <v>3933.847168943973</v>
      </c>
    </row>
    <row r="25" spans="1:28" s="17" customFormat="1" x14ac:dyDescent="0.35">
      <c r="A25" s="6" t="s">
        <v>14</v>
      </c>
      <c r="B25" s="36">
        <f t="shared" si="12"/>
        <v>591.38855182838972</v>
      </c>
      <c r="C25" s="36">
        <f t="shared" si="12"/>
        <v>424.1271432304614</v>
      </c>
      <c r="D25" s="36">
        <f t="shared" si="12"/>
        <v>713.84779740901604</v>
      </c>
      <c r="E25" s="36">
        <f t="shared" si="12"/>
        <v>1123.0408863003765</v>
      </c>
      <c r="F25" s="36">
        <f t="shared" si="12"/>
        <v>1188.75072539242</v>
      </c>
      <c r="G25" s="37"/>
      <c r="I25" s="6" t="s">
        <v>14</v>
      </c>
      <c r="J25" s="35">
        <f t="shared" si="13"/>
        <v>78.84</v>
      </c>
      <c r="K25" s="35">
        <f t="shared" si="13"/>
        <v>119.9025</v>
      </c>
      <c r="L25" s="35">
        <f t="shared" si="13"/>
        <v>131.4</v>
      </c>
      <c r="M25" s="35">
        <f t="shared" si="13"/>
        <v>318.64500000000004</v>
      </c>
      <c r="N25" s="35">
        <f t="shared" si="13"/>
        <v>417.19499999999999</v>
      </c>
      <c r="P25" s="6" t="s">
        <v>14</v>
      </c>
      <c r="Q25" s="35">
        <f>365*B8*$K$7*($K$4/365)</f>
        <v>105.11999999999999</v>
      </c>
      <c r="R25" s="35">
        <f t="shared" ref="R25:U25" si="16">365*C8*$K$7*($K$4/365)</f>
        <v>159.86999999999998</v>
      </c>
      <c r="S25" s="35">
        <f t="shared" si="16"/>
        <v>175.2</v>
      </c>
      <c r="T25" s="35">
        <f t="shared" si="16"/>
        <v>424.86</v>
      </c>
      <c r="U25" s="35">
        <f t="shared" si="16"/>
        <v>556.26</v>
      </c>
      <c r="W25" s="6" t="s">
        <v>14</v>
      </c>
      <c r="X25" s="35">
        <f t="shared" si="15"/>
        <v>775.34855182838965</v>
      </c>
      <c r="Y25" s="35">
        <f t="shared" si="11"/>
        <v>703.89964323046138</v>
      </c>
      <c r="Z25" s="35">
        <f t="shared" si="11"/>
        <v>1020.4477974090161</v>
      </c>
      <c r="AA25" s="35">
        <f t="shared" si="11"/>
        <v>1866.5458863003767</v>
      </c>
      <c r="AB25" s="35">
        <f t="shared" si="11"/>
        <v>2162.2057253924199</v>
      </c>
    </row>
    <row r="26" spans="1:28" s="17" customFormat="1" x14ac:dyDescent="0.35">
      <c r="A26" s="3"/>
      <c r="B26" s="28"/>
      <c r="C26" s="28"/>
      <c r="D26" s="28"/>
      <c r="E26" s="28"/>
      <c r="F26" s="28"/>
      <c r="G26" s="29"/>
      <c r="I26" s="3"/>
      <c r="J26" s="26"/>
      <c r="K26" s="26"/>
      <c r="L26" s="26"/>
      <c r="M26" s="26"/>
      <c r="N26" s="26"/>
      <c r="P26" s="3"/>
      <c r="Q26" s="26"/>
      <c r="R26" s="26"/>
      <c r="S26" s="26"/>
      <c r="T26" s="26"/>
      <c r="U26" s="26"/>
      <c r="W26" s="3"/>
      <c r="X26" s="26"/>
      <c r="Y26" s="26"/>
      <c r="Z26" s="26"/>
      <c r="AA26" s="26"/>
      <c r="AB26" s="26"/>
    </row>
    <row r="27" spans="1:28" s="31" customFormat="1" x14ac:dyDescent="0.35">
      <c r="A27" s="30" t="s">
        <v>34</v>
      </c>
    </row>
    <row r="28" spans="1:28" s="17" customFormat="1" x14ac:dyDescent="0.35">
      <c r="A28" s="3" t="s">
        <v>35</v>
      </c>
      <c r="B28" s="28"/>
      <c r="C28" s="28"/>
      <c r="D28" s="28"/>
      <c r="E28" s="28" t="s">
        <v>55</v>
      </c>
      <c r="G28" s="29"/>
      <c r="I28" s="3" t="s">
        <v>56</v>
      </c>
      <c r="J28" s="26"/>
      <c r="K28" s="26"/>
      <c r="L28" s="26"/>
      <c r="M28" s="26"/>
      <c r="N28" s="26"/>
      <c r="P28" s="3"/>
      <c r="Q28" s="26"/>
      <c r="R28" s="26"/>
      <c r="S28" s="26"/>
      <c r="T28" s="26"/>
      <c r="U28" s="26"/>
      <c r="W28" s="3"/>
      <c r="X28" s="26"/>
      <c r="Y28" s="26"/>
      <c r="Z28" s="26"/>
      <c r="AA28" s="26"/>
      <c r="AB28" s="26"/>
    </row>
    <row r="29" spans="1:28" s="17" customFormat="1" x14ac:dyDescent="0.35">
      <c r="A29" s="3"/>
      <c r="B29" s="8" t="s">
        <v>0</v>
      </c>
      <c r="C29" s="8" t="s">
        <v>1</v>
      </c>
      <c r="D29" s="8" t="s">
        <v>2</v>
      </c>
      <c r="E29" s="8" t="s">
        <v>3</v>
      </c>
      <c r="F29" s="8" t="s">
        <v>4</v>
      </c>
      <c r="G29" s="29"/>
      <c r="I29" s="3"/>
      <c r="J29" s="8" t="s">
        <v>0</v>
      </c>
      <c r="K29" s="8" t="s">
        <v>1</v>
      </c>
      <c r="L29" s="8" t="s">
        <v>2</v>
      </c>
      <c r="M29" s="8" t="s">
        <v>3</v>
      </c>
      <c r="N29" s="8" t="s">
        <v>4</v>
      </c>
      <c r="O29" s="15" t="s">
        <v>57</v>
      </c>
      <c r="P29" s="3"/>
      <c r="Q29" s="26"/>
      <c r="R29" s="26"/>
      <c r="S29" s="26"/>
      <c r="T29" s="26"/>
      <c r="U29" s="26"/>
      <c r="W29" s="3"/>
      <c r="X29" s="26"/>
      <c r="Y29" s="26"/>
      <c r="Z29" s="26"/>
      <c r="AA29" s="26"/>
      <c r="AB29" s="26"/>
    </row>
    <row r="30" spans="1:28" s="17" customFormat="1" x14ac:dyDescent="0.35">
      <c r="A30" s="6" t="s">
        <v>12</v>
      </c>
      <c r="B30" s="36">
        <f>B2*365*$K$3</f>
        <v>2460.538</v>
      </c>
      <c r="C30" s="36">
        <f t="shared" ref="C30:F30" si="17">C2*365*$K$3</f>
        <v>1568.0035</v>
      </c>
      <c r="D30" s="36">
        <f t="shared" si="17"/>
        <v>1224.721</v>
      </c>
      <c r="E30" s="36">
        <f t="shared" si="17"/>
        <v>819.02350000000013</v>
      </c>
      <c r="F30" s="36">
        <f t="shared" si="17"/>
        <v>233.01599999999996</v>
      </c>
      <c r="G30" s="29"/>
      <c r="I30" s="6" t="s">
        <v>12</v>
      </c>
      <c r="J30" s="36">
        <f>X23+B30</f>
        <v>18143.041985738466</v>
      </c>
      <c r="K30" s="36">
        <f t="shared" ref="K30:N32" si="18">Y23+C30</f>
        <v>12168.739442347458</v>
      </c>
      <c r="L30" s="36">
        <f t="shared" si="18"/>
        <v>9563.9785164733985</v>
      </c>
      <c r="M30" s="36">
        <f t="shared" si="18"/>
        <v>6384.616182001414</v>
      </c>
      <c r="N30" s="36">
        <f t="shared" si="18"/>
        <v>2861.8140796512475</v>
      </c>
      <c r="O30" s="35">
        <f>SUM(J30:N30)*O1</f>
        <v>491221.90206211986</v>
      </c>
      <c r="P30" s="3"/>
      <c r="Q30" s="26"/>
      <c r="R30" s="26"/>
      <c r="S30" s="26"/>
      <c r="T30" s="26"/>
      <c r="U30" s="26"/>
      <c r="W30" s="3"/>
      <c r="X30" s="26"/>
      <c r="Y30" s="26"/>
      <c r="Z30" s="26"/>
      <c r="AA30" s="26"/>
      <c r="AB30" s="26"/>
    </row>
    <row r="31" spans="1:28" s="17" customFormat="1" x14ac:dyDescent="0.35">
      <c r="A31" s="6" t="s">
        <v>13</v>
      </c>
      <c r="B31" s="36">
        <f>B5*365*$K$3</f>
        <v>171.988</v>
      </c>
      <c r="C31" s="36">
        <f t="shared" ref="C31:F31" si="19">C5*365*$K$3</f>
        <v>287.80250000000007</v>
      </c>
      <c r="D31" s="36">
        <f t="shared" si="19"/>
        <v>426.5025</v>
      </c>
      <c r="E31" s="36">
        <f t="shared" si="19"/>
        <v>427.19600000000003</v>
      </c>
      <c r="F31" s="36">
        <f t="shared" si="19"/>
        <v>519.43150000000003</v>
      </c>
      <c r="G31" s="29"/>
      <c r="I31" s="6" t="s">
        <v>13</v>
      </c>
      <c r="J31" s="36">
        <f t="shared" ref="J31" si="20">X24+B31</f>
        <v>2066.2802342311675</v>
      </c>
      <c r="K31" s="36">
        <f t="shared" si="18"/>
        <v>3730.1127380484936</v>
      </c>
      <c r="L31" s="36">
        <f t="shared" si="18"/>
        <v>4692.0621445370762</v>
      </c>
      <c r="M31" s="36">
        <f t="shared" si="18"/>
        <v>4807.1001466464213</v>
      </c>
      <c r="N31" s="36">
        <f t="shared" si="18"/>
        <v>4453.2786689439727</v>
      </c>
      <c r="O31" s="35">
        <f t="shared" ref="O31:O32" si="21">SUM(J31:N31)*O2</f>
        <v>394976.67864814273</v>
      </c>
      <c r="P31" s="3"/>
      <c r="Q31" s="26"/>
      <c r="R31" s="26"/>
      <c r="S31" s="26"/>
      <c r="T31" s="26"/>
      <c r="U31" s="26"/>
      <c r="W31" s="3"/>
      <c r="X31" s="26"/>
      <c r="Y31" s="26"/>
      <c r="Z31" s="26"/>
      <c r="AA31" s="26"/>
      <c r="AB31" s="26"/>
    </row>
    <row r="32" spans="1:28" s="17" customFormat="1" x14ac:dyDescent="0.35">
      <c r="A32" s="6" t="s">
        <v>14</v>
      </c>
      <c r="B32" s="36">
        <f>B8*365*$K$3</f>
        <v>33.287999999999997</v>
      </c>
      <c r="C32" s="36">
        <f t="shared" ref="C32:E32" si="22">C8*365*$K$3</f>
        <v>50.625499999999995</v>
      </c>
      <c r="D32" s="36">
        <f t="shared" si="22"/>
        <v>55.480000000000004</v>
      </c>
      <c r="E32" s="36">
        <f t="shared" si="22"/>
        <v>134.53900000000002</v>
      </c>
      <c r="F32" s="36">
        <f>F8*365*$K$3</f>
        <v>176.149</v>
      </c>
      <c r="G32" s="29"/>
      <c r="I32" s="6" t="s">
        <v>14</v>
      </c>
      <c r="J32" s="36">
        <f>X25+B32</f>
        <v>808.63655182838966</v>
      </c>
      <c r="K32" s="36">
        <f t="shared" si="18"/>
        <v>754.52514323046137</v>
      </c>
      <c r="L32" s="36">
        <f t="shared" si="18"/>
        <v>1075.927797409016</v>
      </c>
      <c r="M32" s="36">
        <f t="shared" si="18"/>
        <v>2001.0848863003766</v>
      </c>
      <c r="N32" s="36">
        <f t="shared" si="18"/>
        <v>2338.3547253924198</v>
      </c>
      <c r="O32" s="35">
        <f t="shared" si="21"/>
        <v>488497.03729124641</v>
      </c>
      <c r="P32" s="3"/>
      <c r="Q32" s="26"/>
      <c r="R32" s="26"/>
      <c r="S32" s="26"/>
      <c r="T32" s="26"/>
      <c r="U32" s="26"/>
      <c r="W32" s="3"/>
      <c r="X32" s="26"/>
      <c r="Y32" s="26"/>
      <c r="Z32" s="26"/>
      <c r="AA32" s="26"/>
      <c r="AB32" s="26"/>
    </row>
    <row r="33" spans="1:28" s="17" customFormat="1" x14ac:dyDescent="0.35">
      <c r="A33" s="3"/>
      <c r="B33" s="28"/>
      <c r="C33" s="28"/>
      <c r="D33" s="28"/>
      <c r="E33" s="28"/>
      <c r="F33" s="28"/>
      <c r="G33" s="29"/>
      <c r="I33" s="3"/>
      <c r="J33" s="26"/>
      <c r="K33" s="26"/>
      <c r="L33" s="26"/>
      <c r="M33" s="26"/>
      <c r="N33" s="44" t="s">
        <v>61</v>
      </c>
      <c r="O33" s="54">
        <f>SUM(O30:O32)</f>
        <v>1374695.618001509</v>
      </c>
      <c r="P33" s="3"/>
      <c r="Q33" s="26"/>
      <c r="R33" s="26"/>
      <c r="S33" s="26"/>
      <c r="T33" s="26"/>
      <c r="U33" s="26"/>
      <c r="W33" s="3"/>
      <c r="X33" s="26"/>
      <c r="Y33" s="26"/>
      <c r="Z33" s="26"/>
      <c r="AA33" s="26"/>
      <c r="AB33" s="26"/>
    </row>
    <row r="34" spans="1:28" s="17" customFormat="1" x14ac:dyDescent="0.35">
      <c r="A34" s="3"/>
      <c r="B34" s="28"/>
      <c r="C34" s="28"/>
      <c r="D34" s="28"/>
      <c r="E34" s="28"/>
      <c r="F34" s="28"/>
      <c r="G34" s="29"/>
      <c r="I34" s="3"/>
      <c r="J34" s="26"/>
      <c r="K34" s="26"/>
      <c r="L34" s="26"/>
      <c r="M34" s="26"/>
      <c r="N34" s="26"/>
      <c r="P34" s="3"/>
      <c r="Q34" s="26"/>
      <c r="R34" s="26"/>
      <c r="S34" s="26"/>
      <c r="T34" s="26"/>
      <c r="U34" s="26"/>
      <c r="W34" s="3"/>
      <c r="X34" s="26"/>
      <c r="Y34" s="26"/>
      <c r="Z34" s="26"/>
      <c r="AA34" s="26"/>
      <c r="AB34" s="26"/>
    </row>
    <row r="35" spans="1:28" s="17" customFormat="1" x14ac:dyDescent="0.35">
      <c r="A35" s="3"/>
    </row>
    <row r="36" spans="1:28" s="33" customFormat="1" x14ac:dyDescent="0.35">
      <c r="A36" s="32" t="s">
        <v>32</v>
      </c>
    </row>
    <row r="37" spans="1:28" s="17" customFormat="1" x14ac:dyDescent="0.35">
      <c r="A37" s="3"/>
    </row>
    <row r="38" spans="1:28" ht="21" x14ac:dyDescent="0.55000000000000004">
      <c r="A38" s="3" t="s">
        <v>27</v>
      </c>
      <c r="B38" t="s">
        <v>28</v>
      </c>
    </row>
    <row r="39" spans="1:28" x14ac:dyDescent="0.35">
      <c r="A39" s="13" t="s">
        <v>12</v>
      </c>
      <c r="B39" s="8" t="s">
        <v>0</v>
      </c>
      <c r="C39" s="8" t="s">
        <v>1</v>
      </c>
      <c r="D39" s="8" t="s">
        <v>2</v>
      </c>
      <c r="E39" s="8" t="s">
        <v>3</v>
      </c>
      <c r="F39" s="8" t="s">
        <v>4</v>
      </c>
      <c r="H39" s="14" t="s">
        <v>13</v>
      </c>
      <c r="I39" s="8" t="s">
        <v>0</v>
      </c>
      <c r="J39" s="8" t="s">
        <v>1</v>
      </c>
      <c r="K39" s="8" t="s">
        <v>2</v>
      </c>
      <c r="L39" s="8" t="s">
        <v>3</v>
      </c>
      <c r="M39" s="8" t="s">
        <v>4</v>
      </c>
      <c r="O39" s="14" t="s">
        <v>14</v>
      </c>
      <c r="P39" s="8" t="s">
        <v>0</v>
      </c>
      <c r="Q39" s="8" t="s">
        <v>1</v>
      </c>
      <c r="R39" s="8" t="s">
        <v>2</v>
      </c>
      <c r="S39" s="8" t="s">
        <v>3</v>
      </c>
      <c r="T39" s="8" t="s">
        <v>4</v>
      </c>
    </row>
    <row r="40" spans="1:28" x14ac:dyDescent="0.35">
      <c r="A40" s="5" t="s">
        <v>0</v>
      </c>
      <c r="B40" s="4"/>
      <c r="C40" s="4">
        <f>$H$9*$B$3*C3</f>
        <v>0</v>
      </c>
      <c r="D40" s="4">
        <f>$H$9*$B$3*D3</f>
        <v>0</v>
      </c>
      <c r="E40" s="4">
        <f>$H$9*$B$3*E3</f>
        <v>0</v>
      </c>
      <c r="F40" s="4">
        <f>$H$9*$B$3*F3</f>
        <v>0</v>
      </c>
      <c r="H40" s="5" t="s">
        <v>0</v>
      </c>
      <c r="I40" s="4"/>
      <c r="J40" s="4">
        <v>0</v>
      </c>
      <c r="K40" s="4">
        <v>0</v>
      </c>
      <c r="L40" s="4">
        <v>0</v>
      </c>
      <c r="M40" s="4">
        <v>0</v>
      </c>
      <c r="O40" s="5" t="s">
        <v>0</v>
      </c>
      <c r="P40" s="4"/>
      <c r="Q40" s="4">
        <v>0</v>
      </c>
      <c r="R40" s="4">
        <v>0</v>
      </c>
      <c r="S40" s="4">
        <v>0</v>
      </c>
      <c r="T40" s="4">
        <v>0</v>
      </c>
    </row>
    <row r="41" spans="1:28" x14ac:dyDescent="0.35">
      <c r="A41" s="5" t="s">
        <v>1</v>
      </c>
      <c r="B41" s="4"/>
      <c r="C41" s="4"/>
      <c r="D41" s="4">
        <f>$H$9*$C$3*D3</f>
        <v>0</v>
      </c>
      <c r="E41" s="4">
        <f t="shared" ref="E41:F41" si="23">$H$9*$C$3*E3</f>
        <v>0</v>
      </c>
      <c r="F41" s="4">
        <f t="shared" si="23"/>
        <v>0</v>
      </c>
      <c r="H41" s="5" t="s">
        <v>1</v>
      </c>
      <c r="I41" s="4"/>
      <c r="J41" s="4">
        <v>0</v>
      </c>
      <c r="K41" s="4">
        <v>0</v>
      </c>
      <c r="L41" s="4">
        <v>0</v>
      </c>
      <c r="M41" s="4">
        <v>0</v>
      </c>
      <c r="O41" s="5" t="s">
        <v>1</v>
      </c>
      <c r="P41" s="4"/>
      <c r="Q41" s="4">
        <v>0</v>
      </c>
      <c r="R41" s="4">
        <v>0</v>
      </c>
      <c r="S41" s="4">
        <v>0</v>
      </c>
      <c r="T41" s="4">
        <v>0</v>
      </c>
    </row>
    <row r="42" spans="1:28" x14ac:dyDescent="0.35">
      <c r="A42" s="5" t="s">
        <v>2</v>
      </c>
      <c r="B42" s="4"/>
      <c r="C42" s="4"/>
      <c r="D42" s="4"/>
      <c r="E42" s="4">
        <f>$H$9*$D$3*E3</f>
        <v>0</v>
      </c>
      <c r="F42" s="4">
        <f>$H$9*$D$3*F3</f>
        <v>0</v>
      </c>
      <c r="H42" s="5" t="s">
        <v>2</v>
      </c>
      <c r="I42" s="4"/>
      <c r="J42" s="4">
        <v>0</v>
      </c>
      <c r="K42" s="4">
        <v>0</v>
      </c>
      <c r="L42" s="4">
        <v>0</v>
      </c>
      <c r="M42" s="4">
        <v>0</v>
      </c>
      <c r="O42" s="5" t="s">
        <v>2</v>
      </c>
      <c r="P42" s="4"/>
      <c r="Q42" s="4">
        <v>0</v>
      </c>
      <c r="R42" s="4">
        <v>0</v>
      </c>
      <c r="S42" s="4">
        <v>0</v>
      </c>
      <c r="T42" s="4">
        <v>0</v>
      </c>
    </row>
    <row r="43" spans="1:28" x14ac:dyDescent="0.35">
      <c r="A43" s="5" t="s">
        <v>3</v>
      </c>
      <c r="B43" s="4"/>
      <c r="C43" s="4"/>
      <c r="D43" s="4"/>
      <c r="E43" s="4"/>
      <c r="F43" s="4">
        <f>$H$9*E3*F3</f>
        <v>0</v>
      </c>
      <c r="H43" s="5" t="s">
        <v>3</v>
      </c>
      <c r="I43" s="4"/>
      <c r="J43" s="4">
        <v>0</v>
      </c>
      <c r="K43" s="4">
        <v>0</v>
      </c>
      <c r="L43" s="4">
        <v>0</v>
      </c>
      <c r="M43" s="4">
        <v>0</v>
      </c>
      <c r="O43" s="5" t="s">
        <v>3</v>
      </c>
      <c r="P43" s="4"/>
      <c r="Q43" s="4">
        <v>0</v>
      </c>
      <c r="R43" s="4">
        <v>0</v>
      </c>
      <c r="S43" s="4">
        <v>0</v>
      </c>
      <c r="T43" s="4">
        <v>0</v>
      </c>
    </row>
    <row r="44" spans="1:28" x14ac:dyDescent="0.35">
      <c r="A44" s="5" t="s">
        <v>4</v>
      </c>
      <c r="B44" s="4"/>
      <c r="C44" s="4"/>
      <c r="D44" s="4"/>
      <c r="E44" s="4"/>
      <c r="F44" s="4"/>
      <c r="H44" s="5" t="s">
        <v>4</v>
      </c>
      <c r="I44" s="4"/>
      <c r="J44" s="4"/>
      <c r="K44" s="4"/>
      <c r="L44" s="4"/>
      <c r="M44" s="4"/>
      <c r="O44" s="5" t="s">
        <v>4</v>
      </c>
      <c r="P44" s="4"/>
      <c r="Q44" s="4"/>
      <c r="R44" s="4"/>
      <c r="S44" s="4"/>
      <c r="T44" s="4"/>
    </row>
    <row r="46" spans="1:28" x14ac:dyDescent="0.35">
      <c r="A46" s="8" t="s">
        <v>11</v>
      </c>
      <c r="B46" s="15" t="s">
        <v>70</v>
      </c>
      <c r="C46" s="15" t="s">
        <v>63</v>
      </c>
    </row>
    <row r="47" spans="1:28" x14ac:dyDescent="0.35">
      <c r="A47" s="15" t="s">
        <v>12</v>
      </c>
      <c r="B47" s="4">
        <f>SQRT(SUM(B4:F4)+(2*SUM(B40:F44)))</f>
        <v>12.27391135702063</v>
      </c>
      <c r="C47" s="4">
        <f>SUM(B2:F2)</f>
        <v>90.92</v>
      </c>
    </row>
    <row r="48" spans="1:28" x14ac:dyDescent="0.35">
      <c r="A48" s="16" t="s">
        <v>13</v>
      </c>
      <c r="B48" s="4">
        <v>0</v>
      </c>
      <c r="C48" s="4">
        <v>0</v>
      </c>
    </row>
    <row r="49" spans="1:10" x14ac:dyDescent="0.35">
      <c r="A49" s="16" t="s">
        <v>14</v>
      </c>
      <c r="B49" s="4">
        <v>0</v>
      </c>
      <c r="C49" s="4">
        <v>0</v>
      </c>
    </row>
    <row r="51" spans="1:10" ht="19" x14ac:dyDescent="0.45">
      <c r="A51" s="3" t="s">
        <v>19</v>
      </c>
      <c r="B51" s="17"/>
      <c r="C51" s="17" t="s">
        <v>26</v>
      </c>
      <c r="D51" s="18" t="s">
        <v>30</v>
      </c>
      <c r="E51" s="17"/>
      <c r="F51" s="17" t="s">
        <v>39</v>
      </c>
      <c r="G51" s="17"/>
      <c r="H51" s="18" t="s">
        <v>86</v>
      </c>
      <c r="I51" s="17"/>
      <c r="J51" s="17" t="s">
        <v>42</v>
      </c>
    </row>
    <row r="52" spans="1:10" ht="43.5" x14ac:dyDescent="0.35">
      <c r="A52" s="3"/>
      <c r="B52" s="8" t="s">
        <v>64</v>
      </c>
      <c r="D52" s="17"/>
      <c r="E52" s="8" t="s">
        <v>65</v>
      </c>
      <c r="H52" s="8" t="s">
        <v>75</v>
      </c>
      <c r="I52" s="8" t="s">
        <v>87</v>
      </c>
    </row>
    <row r="53" spans="1:10" x14ac:dyDescent="0.35">
      <c r="A53" s="6" t="s">
        <v>12</v>
      </c>
      <c r="B53" s="4">
        <f>_xlfn.NORM.S.INV(0.95)*SQRT(SUM($K$5:$K$6))*B47</f>
        <v>66.9586334827587</v>
      </c>
      <c r="D53" s="6" t="s">
        <v>12</v>
      </c>
      <c r="E53" s="22">
        <f>((C47*$K$5))/2</f>
        <v>272.76</v>
      </c>
      <c r="H53" s="6" t="s">
        <v>12</v>
      </c>
      <c r="I53" s="35">
        <f>365*C47*$P$7*($K$4/365)</f>
        <v>14933.61</v>
      </c>
    </row>
    <row r="54" spans="1:10" x14ac:dyDescent="0.35">
      <c r="A54" s="6" t="s">
        <v>13</v>
      </c>
      <c r="B54" s="4">
        <f t="shared" ref="B54:B55" si="24">_xlfn.NORM.S.INV(0.95)*SQRT(SUM($K$5:$K$6))*B48</f>
        <v>0</v>
      </c>
      <c r="D54" s="6" t="s">
        <v>13</v>
      </c>
      <c r="E54" s="22">
        <f>(($K$5*C48))/2</f>
        <v>0</v>
      </c>
      <c r="H54" s="6" t="s">
        <v>13</v>
      </c>
      <c r="I54" s="35">
        <f t="shared" ref="I54:I55" si="25">365*C48*$P$7*($K$4/365)</f>
        <v>0</v>
      </c>
    </row>
    <row r="55" spans="1:10" x14ac:dyDescent="0.35">
      <c r="A55" s="6" t="s">
        <v>14</v>
      </c>
      <c r="B55" s="4">
        <f t="shared" si="24"/>
        <v>0</v>
      </c>
      <c r="D55" s="6" t="s">
        <v>14</v>
      </c>
      <c r="E55" s="22">
        <f>(($K$5*C49))/2</f>
        <v>0</v>
      </c>
      <c r="H55" s="6" t="s">
        <v>14</v>
      </c>
      <c r="I55" s="35">
        <f t="shared" si="25"/>
        <v>0</v>
      </c>
    </row>
    <row r="56" spans="1:10" x14ac:dyDescent="0.35">
      <c r="D56" s="3"/>
      <c r="E56" s="26"/>
      <c r="F56" s="26"/>
      <c r="G56" s="26"/>
      <c r="H56" s="26"/>
      <c r="I56" s="26"/>
    </row>
    <row r="57" spans="1:10" x14ac:dyDescent="0.35">
      <c r="A57" s="13" t="s">
        <v>76</v>
      </c>
      <c r="B57" s="13" t="s">
        <v>51</v>
      </c>
      <c r="D57" s="3"/>
      <c r="E57" s="45" t="s">
        <v>76</v>
      </c>
      <c r="F57" s="47" t="s">
        <v>47</v>
      </c>
      <c r="G57" s="26"/>
      <c r="H57" s="47" t="s">
        <v>77</v>
      </c>
      <c r="I57" s="26"/>
    </row>
    <row r="58" spans="1:10" x14ac:dyDescent="0.35">
      <c r="A58" s="6" t="s">
        <v>12</v>
      </c>
      <c r="B58" s="36">
        <f>C47*365*$K$12</f>
        <v>9623.8819999999996</v>
      </c>
      <c r="E58" s="6" t="s">
        <v>12</v>
      </c>
      <c r="F58" s="36">
        <f>(SUM(B53,E53)*$K$4) + I53</f>
        <v>33533.205183181039</v>
      </c>
      <c r="H58" s="36">
        <f>SUM(B58,F58)*O1</f>
        <v>431570.87183181033</v>
      </c>
    </row>
    <row r="59" spans="1:10" x14ac:dyDescent="0.35">
      <c r="A59" s="6" t="s">
        <v>13</v>
      </c>
      <c r="B59" s="36">
        <f>SUM(B31:F31)</f>
        <v>1832.9205000000002</v>
      </c>
      <c r="E59" s="6" t="s">
        <v>13</v>
      </c>
      <c r="F59" s="36">
        <f>SUM(X24:AB24)</f>
        <v>17915.913432407131</v>
      </c>
      <c r="H59" s="36">
        <f t="shared" ref="H59" si="26">SUM(B59,F59)*O2</f>
        <v>394976.67864814261</v>
      </c>
    </row>
    <row r="60" spans="1:10" x14ac:dyDescent="0.35">
      <c r="A60" s="6" t="s">
        <v>14</v>
      </c>
      <c r="B60" s="36">
        <f>SUM(B32:F32)</f>
        <v>450.08150000000001</v>
      </c>
      <c r="E60" s="6" t="s">
        <v>14</v>
      </c>
      <c r="F60" s="36">
        <f>SUM(X25:AB25)</f>
        <v>6528.4476041606631</v>
      </c>
      <c r="H60" s="36">
        <f>SUM(B60,F60)*O3</f>
        <v>488497.03729124641</v>
      </c>
    </row>
    <row r="61" spans="1:10" x14ac:dyDescent="0.35">
      <c r="G61" s="21" t="s">
        <v>66</v>
      </c>
      <c r="H61" s="54">
        <f>SUM(H58:H60)</f>
        <v>1315044.5877711994</v>
      </c>
    </row>
    <row r="62" spans="1:10" ht="15" customHeight="1" x14ac:dyDescent="0.35">
      <c r="G62" s="21"/>
      <c r="H62" s="53"/>
    </row>
    <row r="63" spans="1:10" x14ac:dyDescent="0.35">
      <c r="G63" s="21"/>
      <c r="H63" s="53"/>
    </row>
    <row r="64" spans="1:10" x14ac:dyDescent="0.35">
      <c r="A64" s="13" t="s">
        <v>78</v>
      </c>
      <c r="B64" s="45" t="s">
        <v>79</v>
      </c>
      <c r="H64" s="34"/>
    </row>
    <row r="65" spans="1:5" x14ac:dyDescent="0.35">
      <c r="A65">
        <f>C47*365*O1</f>
        <v>331858</v>
      </c>
    </row>
    <row r="66" spans="1:5" x14ac:dyDescent="0.35">
      <c r="A66">
        <f t="shared" ref="A66:A67" si="27">C48*365*O2</f>
        <v>0</v>
      </c>
    </row>
    <row r="67" spans="1:5" x14ac:dyDescent="0.35">
      <c r="A67">
        <f t="shared" si="27"/>
        <v>0</v>
      </c>
    </row>
    <row r="68" spans="1:5" x14ac:dyDescent="0.35">
      <c r="A68" s="48">
        <f>SUM(A65:A67)</f>
        <v>331858</v>
      </c>
      <c r="E68" s="40"/>
    </row>
    <row r="69" spans="1:5" x14ac:dyDescent="0.35">
      <c r="A69" s="4">
        <f>A68/1000</f>
        <v>331.858</v>
      </c>
      <c r="B69" s="49">
        <f xml:space="preserve"> -0.0009*(A69^3) + 0.3998*(A69^2) + 2000.5*(A69) + 396.83</f>
        <v>675415.93652833451</v>
      </c>
    </row>
    <row r="71" spans="1:5" x14ac:dyDescent="0.35">
      <c r="A71" s="40" t="s">
        <v>80</v>
      </c>
      <c r="D71" s="40"/>
    </row>
    <row r="72" spans="1:5" x14ac:dyDescent="0.35">
      <c r="A72" s="48" t="s">
        <v>81</v>
      </c>
      <c r="B72" s="48" t="s">
        <v>84</v>
      </c>
      <c r="D72" s="48" t="s">
        <v>88</v>
      </c>
      <c r="E72" s="40"/>
    </row>
    <row r="73" spans="1:5" x14ac:dyDescent="0.35">
      <c r="A73" s="4">
        <v>0</v>
      </c>
      <c r="B73" s="55">
        <f>PMT($O$5,3,$B$69)</f>
        <v>-281208.73662721668</v>
      </c>
      <c r="D73" s="52">
        <f>O33-H61</f>
        <v>59651.030230309581</v>
      </c>
      <c r="E73" s="50"/>
    </row>
    <row r="74" spans="1:5" x14ac:dyDescent="0.35">
      <c r="A74" s="4">
        <v>1</v>
      </c>
      <c r="B74" s="55">
        <f t="shared" ref="B74:B75" si="28">PMT($O$5,3,$B$69)</f>
        <v>-281208.73662721668</v>
      </c>
      <c r="E74" s="50"/>
    </row>
    <row r="75" spans="1:5" x14ac:dyDescent="0.35">
      <c r="A75" s="4">
        <v>2</v>
      </c>
      <c r="B75" s="55">
        <f t="shared" si="28"/>
        <v>-281208.73662721668</v>
      </c>
      <c r="D75" t="s">
        <v>89</v>
      </c>
      <c r="E75" s="50"/>
    </row>
    <row r="76" spans="1:5" x14ac:dyDescent="0.35">
      <c r="A76" s="4">
        <v>3</v>
      </c>
      <c r="B76" s="55">
        <v>0</v>
      </c>
      <c r="D76" s="67">
        <f>B77/D73</f>
        <v>-12.681521945070497</v>
      </c>
      <c r="E76" s="50"/>
    </row>
    <row r="77" spans="1:5" x14ac:dyDescent="0.35">
      <c r="A77" s="56" t="s">
        <v>82</v>
      </c>
      <c r="B77" s="55">
        <f>NPV(O5, B74:B76)+B73</f>
        <v>-756465.84891173453</v>
      </c>
      <c r="E77" s="34"/>
    </row>
    <row r="78" spans="1:5" x14ac:dyDescent="0.35">
      <c r="D78" t="s">
        <v>90</v>
      </c>
      <c r="E78" s="50"/>
    </row>
    <row r="79" spans="1:5" x14ac:dyDescent="0.35">
      <c r="E79" s="50"/>
    </row>
    <row r="80" spans="1:5" x14ac:dyDescent="0.35">
      <c r="D80" s="51"/>
      <c r="E80" s="50"/>
    </row>
  </sheetData>
  <pageMargins left="0.7" right="0.7" top="0.75" bottom="0.75" header="0.3" footer="0.3"/>
  <pageSetup orientation="portrait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3"/>
  <sheetViews>
    <sheetView topLeftCell="A61" zoomScaleNormal="100" workbookViewId="0">
      <selection activeCell="D78" sqref="D78"/>
    </sheetView>
  </sheetViews>
  <sheetFormatPr defaultRowHeight="14.5" x14ac:dyDescent="0.35"/>
  <cols>
    <col min="1" max="1" width="18.54296875" customWidth="1"/>
    <col min="2" max="2" width="13.90625" bestFit="1" customWidth="1"/>
    <col min="3" max="3" width="11.36328125" customWidth="1"/>
    <col min="4" max="4" width="12.6328125" customWidth="1"/>
    <col min="5" max="5" width="16.81640625" customWidth="1"/>
    <col min="6" max="6" width="16.90625" customWidth="1"/>
    <col min="7" max="7" width="13.453125" customWidth="1"/>
    <col min="8" max="8" width="14.90625" bestFit="1" customWidth="1"/>
    <col min="9" max="9" width="11.08984375" bestFit="1" customWidth="1"/>
    <col min="10" max="12" width="12.1796875" bestFit="1" customWidth="1"/>
    <col min="13" max="13" width="15.453125" customWidth="1"/>
    <col min="14" max="14" width="12.1796875" bestFit="1" customWidth="1"/>
    <col min="15" max="15" width="14.90625" bestFit="1" customWidth="1"/>
    <col min="17" max="17" width="12.1796875" bestFit="1" customWidth="1"/>
    <col min="18" max="18" width="14.1796875" customWidth="1"/>
    <col min="19" max="19" width="14.08984375" customWidth="1"/>
    <col min="20" max="20" width="13" customWidth="1"/>
    <col min="21" max="21" width="13.6328125" customWidth="1"/>
    <col min="24" max="28" width="12.1796875" bestFit="1" customWidth="1"/>
    <col min="30" max="30" width="10.1796875" bestFit="1" customWidth="1"/>
  </cols>
  <sheetData>
    <row r="1" spans="1:30" ht="15" thickBot="1" x14ac:dyDescent="0.4">
      <c r="A1" s="1"/>
      <c r="B1" s="8" t="s">
        <v>0</v>
      </c>
      <c r="C1" s="8" t="s">
        <v>1</v>
      </c>
      <c r="D1" s="8" t="s">
        <v>2</v>
      </c>
      <c r="E1" s="8" t="s">
        <v>3</v>
      </c>
      <c r="F1" s="8" t="s">
        <v>4</v>
      </c>
      <c r="I1" s="41" t="s">
        <v>49</v>
      </c>
      <c r="J1" t="s">
        <v>52</v>
      </c>
      <c r="K1" s="34">
        <v>0.09</v>
      </c>
      <c r="L1" s="43" t="s">
        <v>54</v>
      </c>
      <c r="N1" s="21" t="s">
        <v>58</v>
      </c>
      <c r="O1">
        <v>10</v>
      </c>
    </row>
    <row r="2" spans="1:30" ht="15" thickBot="1" x14ac:dyDescent="0.4">
      <c r="A2" s="9" t="s">
        <v>5</v>
      </c>
      <c r="B2" s="2">
        <v>35.479999999999997</v>
      </c>
      <c r="C2" s="2">
        <v>22.61</v>
      </c>
      <c r="D2" s="2">
        <v>17.66</v>
      </c>
      <c r="E2" s="2">
        <v>11.81</v>
      </c>
      <c r="F2" s="2">
        <v>3.36</v>
      </c>
      <c r="I2" s="21" t="s">
        <v>50</v>
      </c>
      <c r="J2" t="s">
        <v>53</v>
      </c>
      <c r="K2" s="34">
        <v>0.1</v>
      </c>
      <c r="L2" s="43" t="s">
        <v>54</v>
      </c>
      <c r="N2" s="21" t="s">
        <v>59</v>
      </c>
      <c r="O2">
        <v>20</v>
      </c>
    </row>
    <row r="3" spans="1:30" ht="15" thickBot="1" x14ac:dyDescent="0.4">
      <c r="A3" s="9" t="s">
        <v>6</v>
      </c>
      <c r="B3" s="2">
        <v>6.98</v>
      </c>
      <c r="C3" s="2">
        <v>6.48</v>
      </c>
      <c r="D3" s="2">
        <v>5.26</v>
      </c>
      <c r="E3" s="2">
        <v>3.48</v>
      </c>
      <c r="F3" s="2">
        <v>4.49</v>
      </c>
      <c r="I3" s="21" t="s">
        <v>51</v>
      </c>
      <c r="K3" s="42">
        <f>SUM(K1:K2)</f>
        <v>0.19</v>
      </c>
      <c r="L3" s="43" t="s">
        <v>54</v>
      </c>
      <c r="N3" s="21" t="s">
        <v>60</v>
      </c>
      <c r="O3">
        <v>70</v>
      </c>
    </row>
    <row r="4" spans="1:30" ht="15" thickBot="1" x14ac:dyDescent="0.4">
      <c r="A4" s="9" t="s">
        <v>15</v>
      </c>
      <c r="B4" s="2">
        <f>B3^2</f>
        <v>48.720400000000005</v>
      </c>
      <c r="C4" s="2">
        <f t="shared" ref="C4:F4" si="0">C3^2</f>
        <v>41.990400000000008</v>
      </c>
      <c r="D4" s="2">
        <f t="shared" si="0"/>
        <v>27.667599999999997</v>
      </c>
      <c r="E4" s="2">
        <f t="shared" si="0"/>
        <v>12.1104</v>
      </c>
      <c r="F4" s="2">
        <f t="shared" si="0"/>
        <v>20.160100000000003</v>
      </c>
      <c r="I4" s="21" t="s">
        <v>36</v>
      </c>
      <c r="J4" t="s">
        <v>37</v>
      </c>
      <c r="K4" s="34">
        <f>0.15*365</f>
        <v>54.75</v>
      </c>
      <c r="L4" t="s">
        <v>38</v>
      </c>
      <c r="N4" s="34"/>
    </row>
    <row r="5" spans="1:30" ht="15" thickBot="1" x14ac:dyDescent="0.4">
      <c r="A5" s="9" t="s">
        <v>7</v>
      </c>
      <c r="B5" s="2">
        <v>2.48</v>
      </c>
      <c r="C5" s="2">
        <v>4.1500000000000004</v>
      </c>
      <c r="D5" s="2">
        <v>6.15</v>
      </c>
      <c r="E5" s="2">
        <v>6.16</v>
      </c>
      <c r="F5" s="2">
        <v>7.49</v>
      </c>
      <c r="I5" s="21" t="s">
        <v>21</v>
      </c>
      <c r="J5" t="s">
        <v>24</v>
      </c>
      <c r="K5">
        <v>6</v>
      </c>
      <c r="L5" t="s">
        <v>22</v>
      </c>
      <c r="N5" t="s">
        <v>91</v>
      </c>
      <c r="O5" s="57">
        <v>0.12</v>
      </c>
    </row>
    <row r="6" spans="1:30" ht="25.5" thickBot="1" x14ac:dyDescent="0.55000000000000004">
      <c r="A6" s="9" t="s">
        <v>8</v>
      </c>
      <c r="B6" s="2">
        <v>3.16</v>
      </c>
      <c r="C6" s="2">
        <v>6.2</v>
      </c>
      <c r="D6" s="2">
        <v>6.39</v>
      </c>
      <c r="E6" s="2">
        <v>6.76</v>
      </c>
      <c r="F6" s="2">
        <v>3.56</v>
      </c>
      <c r="I6" s="21" t="s">
        <v>23</v>
      </c>
      <c r="J6" t="s">
        <v>25</v>
      </c>
      <c r="K6">
        <v>5</v>
      </c>
      <c r="L6" t="s">
        <v>22</v>
      </c>
      <c r="N6" s="23"/>
    </row>
    <row r="7" spans="1:30" ht="15" thickBot="1" x14ac:dyDescent="0.4">
      <c r="A7" s="9" t="s">
        <v>16</v>
      </c>
      <c r="B7" s="2">
        <f>B6^2</f>
        <v>9.9856000000000016</v>
      </c>
      <c r="C7" s="2">
        <f t="shared" ref="C7:F7" si="1">C6^2</f>
        <v>38.440000000000005</v>
      </c>
      <c r="D7" s="2">
        <f t="shared" si="1"/>
        <v>40.832099999999997</v>
      </c>
      <c r="E7" s="2">
        <f t="shared" si="1"/>
        <v>45.697599999999994</v>
      </c>
      <c r="F7" s="2">
        <f t="shared" si="1"/>
        <v>12.6736</v>
      </c>
      <c r="I7" s="21" t="s">
        <v>72</v>
      </c>
      <c r="K7" s="24">
        <v>4</v>
      </c>
      <c r="L7" t="s">
        <v>22</v>
      </c>
      <c r="M7" s="25" t="s">
        <v>29</v>
      </c>
      <c r="O7" s="21" t="s">
        <v>73</v>
      </c>
      <c r="P7" s="24">
        <v>3</v>
      </c>
      <c r="Q7" t="s">
        <v>22</v>
      </c>
    </row>
    <row r="8" spans="1:30" ht="15" thickBot="1" x14ac:dyDescent="0.4">
      <c r="A8" s="9" t="s">
        <v>9</v>
      </c>
      <c r="B8" s="2">
        <v>0.48</v>
      </c>
      <c r="C8" s="2">
        <v>0.73</v>
      </c>
      <c r="D8" s="2">
        <v>0.8</v>
      </c>
      <c r="E8" s="2">
        <v>1.94</v>
      </c>
      <c r="F8" s="2">
        <v>2.54</v>
      </c>
      <c r="H8" s="11" t="s">
        <v>18</v>
      </c>
    </row>
    <row r="9" spans="1:30" ht="15" thickBot="1" x14ac:dyDescent="0.4">
      <c r="A9" s="9" t="s">
        <v>10</v>
      </c>
      <c r="B9" s="2">
        <v>1.98</v>
      </c>
      <c r="C9" s="2">
        <v>1.42</v>
      </c>
      <c r="D9" s="2">
        <v>2.39</v>
      </c>
      <c r="E9" s="2">
        <v>3.76</v>
      </c>
      <c r="F9" s="2">
        <v>3.98</v>
      </c>
      <c r="H9" s="12">
        <v>1</v>
      </c>
    </row>
    <row r="10" spans="1:30" x14ac:dyDescent="0.35">
      <c r="A10" s="10" t="s">
        <v>17</v>
      </c>
      <c r="B10" s="2">
        <f>B9^2</f>
        <v>3.9203999999999999</v>
      </c>
      <c r="C10" s="2">
        <f t="shared" ref="C10:F10" si="2">C9^2</f>
        <v>2.0164</v>
      </c>
      <c r="D10" s="2">
        <f t="shared" si="2"/>
        <v>5.7121000000000004</v>
      </c>
      <c r="E10" s="2">
        <f t="shared" si="2"/>
        <v>14.137599999999999</v>
      </c>
      <c r="F10" s="2">
        <f t="shared" si="2"/>
        <v>15.840400000000001</v>
      </c>
      <c r="H10" s="7"/>
      <c r="I10" s="21" t="s">
        <v>68</v>
      </c>
      <c r="K10" s="34">
        <f>0.05</f>
        <v>0.05</v>
      </c>
      <c r="L10" t="s">
        <v>54</v>
      </c>
    </row>
    <row r="11" spans="1:30" x14ac:dyDescent="0.35">
      <c r="I11" s="21" t="s">
        <v>69</v>
      </c>
      <c r="K11" s="34">
        <v>0.24</v>
      </c>
      <c r="L11" t="s">
        <v>54</v>
      </c>
    </row>
    <row r="12" spans="1:30" s="17" customFormat="1" x14ac:dyDescent="0.35">
      <c r="A12" s="3"/>
      <c r="I12" s="21" t="s">
        <v>67</v>
      </c>
      <c r="K12" s="46">
        <f>SUM(K10:K11)</f>
        <v>0.28999999999999998</v>
      </c>
      <c r="L12" t="s">
        <v>54</v>
      </c>
    </row>
    <row r="13" spans="1:30" s="31" customFormat="1" x14ac:dyDescent="0.35">
      <c r="A13" s="30" t="s">
        <v>33</v>
      </c>
    </row>
    <row r="14" spans="1:30" s="17" customFormat="1" ht="19" x14ac:dyDescent="0.45">
      <c r="A14" s="3" t="s">
        <v>19</v>
      </c>
      <c r="D14" s="17" t="s">
        <v>26</v>
      </c>
      <c r="I14" s="18" t="s">
        <v>30</v>
      </c>
      <c r="M14" s="17" t="s">
        <v>71</v>
      </c>
      <c r="P14" s="18"/>
      <c r="W14" s="26"/>
      <c r="X14" s="26"/>
      <c r="Y14" s="26"/>
      <c r="Z14" s="26"/>
      <c r="AA14" s="26"/>
      <c r="AB14" s="26"/>
      <c r="AD14" s="24" t="s">
        <v>31</v>
      </c>
    </row>
    <row r="15" spans="1:30" s="17" customFormat="1" ht="29" x14ac:dyDescent="0.35">
      <c r="A15" s="3"/>
      <c r="B15" s="8" t="s">
        <v>0</v>
      </c>
      <c r="C15" s="8" t="s">
        <v>1</v>
      </c>
      <c r="D15" s="8" t="s">
        <v>2</v>
      </c>
      <c r="E15" s="8" t="s">
        <v>3</v>
      </c>
      <c r="F15" s="8" t="s">
        <v>4</v>
      </c>
      <c r="G15" s="19" t="s">
        <v>20</v>
      </c>
      <c r="J15" s="8" t="s">
        <v>0</v>
      </c>
      <c r="K15" s="8" t="s">
        <v>1</v>
      </c>
      <c r="L15" s="8" t="s">
        <v>2</v>
      </c>
      <c r="M15" s="8" t="s">
        <v>3</v>
      </c>
      <c r="N15" s="8" t="s">
        <v>4</v>
      </c>
      <c r="P15" s="26"/>
      <c r="Q15" s="39"/>
      <c r="R15" s="39"/>
      <c r="S15" s="39"/>
      <c r="T15" s="39"/>
      <c r="U15" s="39"/>
      <c r="W15" s="26"/>
      <c r="X15" s="39"/>
      <c r="Y15" s="39"/>
      <c r="Z15" s="39"/>
      <c r="AA15" s="39"/>
      <c r="AB15" s="39"/>
      <c r="AD15" s="24"/>
    </row>
    <row r="16" spans="1:30" s="17" customFormat="1" x14ac:dyDescent="0.35">
      <c r="A16" s="6" t="s">
        <v>12</v>
      </c>
      <c r="B16" s="4">
        <f>_xlfn.NORM.S.INV(0.95)*SQRT(SUM($K$5:$K$6))*B3</f>
        <v>38.07842896325964</v>
      </c>
      <c r="C16" s="4">
        <f>_xlfn.NORM.S.INV(0.95)*SQRT(SUM($K$5:$K$6))*C3</f>
        <v>35.350747805433016</v>
      </c>
      <c r="D16" s="4">
        <f>_xlfn.NORM.S.INV(0.95)*SQRT(SUM($K$5:$K$6))*D3</f>
        <v>28.695205780336057</v>
      </c>
      <c r="E16" s="4">
        <f>_xlfn.NORM.S.INV(0.95)*SQRT(SUM($K$5:$K$6))*E3</f>
        <v>18.984660858473287</v>
      </c>
      <c r="F16" s="4">
        <f>_xlfn.NORM.S.INV(0.95)*SQRT(SUM($K$5:$K$6))*F3</f>
        <v>24.494576797283063</v>
      </c>
      <c r="G16" s="20">
        <f>SUM(B16:F16)</f>
        <v>145.60362020478507</v>
      </c>
      <c r="I16" s="6" t="s">
        <v>12</v>
      </c>
      <c r="J16" s="22">
        <f>((B2*$K$5))/2</f>
        <v>106.44</v>
      </c>
      <c r="K16" s="22">
        <f t="shared" ref="K16:N16" si="3">((C2*$K$5))/2</f>
        <v>67.83</v>
      </c>
      <c r="L16" s="22">
        <f t="shared" si="3"/>
        <v>52.980000000000004</v>
      </c>
      <c r="M16" s="22">
        <f t="shared" si="3"/>
        <v>35.43</v>
      </c>
      <c r="N16" s="22">
        <f t="shared" si="3"/>
        <v>10.08</v>
      </c>
      <c r="P16" s="3"/>
      <c r="Q16" s="58"/>
      <c r="R16" s="26"/>
      <c r="S16" s="26"/>
      <c r="T16" s="26"/>
      <c r="U16" s="26"/>
      <c r="W16" s="3"/>
      <c r="X16" s="26"/>
      <c r="Y16" s="26"/>
      <c r="Z16" s="26"/>
      <c r="AA16" s="26"/>
      <c r="AB16" s="26"/>
      <c r="AD16" s="27">
        <f>X16*0.15</f>
        <v>0</v>
      </c>
    </row>
    <row r="17" spans="1:28" s="17" customFormat="1" x14ac:dyDescent="0.35">
      <c r="A17" s="6" t="s">
        <v>13</v>
      </c>
      <c r="B17" s="4">
        <f>_xlfn.NORM.S.INV(0.95)*SQRT(SUM($K$5:$K$6))*B6</f>
        <v>17.238944917464249</v>
      </c>
      <c r="C17" s="4">
        <f>_xlfn.NORM.S.INV(0.95)*SQRT(SUM($K$5:$K$6))*C6</f>
        <v>33.82324635705011</v>
      </c>
      <c r="D17" s="4">
        <f>_xlfn.NORM.S.INV(0.95)*SQRT(SUM($K$5:$K$6))*D6</f>
        <v>34.859765197024224</v>
      </c>
      <c r="E17" s="4">
        <f>_xlfn.NORM.S.INV(0.95)*SQRT(SUM($K$5:$K$6))*E6</f>
        <v>36.878249253815923</v>
      </c>
      <c r="F17" s="4">
        <f>_xlfn.NORM.S.INV(0.95)*SQRT(SUM($K$5:$K$6))*F6</f>
        <v>19.421089843725547</v>
      </c>
      <c r="G17" s="20">
        <f t="shared" ref="G17:G18" si="4">SUM(B17:F17)</f>
        <v>142.22129556908004</v>
      </c>
      <c r="I17" s="6" t="s">
        <v>13</v>
      </c>
      <c r="J17" s="22">
        <f>(($K$5*B5))/2</f>
        <v>7.4399999999999995</v>
      </c>
      <c r="K17" s="22">
        <f t="shared" ref="K17:N17" si="5">(($K$5*C5))/2</f>
        <v>12.450000000000001</v>
      </c>
      <c r="L17" s="22">
        <f t="shared" si="5"/>
        <v>18.450000000000003</v>
      </c>
      <c r="M17" s="22">
        <f t="shared" si="5"/>
        <v>18.48</v>
      </c>
      <c r="N17" s="22">
        <f t="shared" si="5"/>
        <v>22.47</v>
      </c>
      <c r="P17" s="3"/>
      <c r="Q17" s="26"/>
      <c r="R17" s="26"/>
      <c r="S17" s="26"/>
      <c r="T17" s="26"/>
      <c r="U17" s="26"/>
      <c r="W17" s="3"/>
      <c r="X17" s="26"/>
      <c r="Y17" s="26"/>
      <c r="Z17" s="26"/>
      <c r="AA17" s="26"/>
      <c r="AB17" s="26"/>
    </row>
    <row r="18" spans="1:28" s="17" customFormat="1" x14ac:dyDescent="0.35">
      <c r="A18" s="6" t="s">
        <v>14</v>
      </c>
      <c r="B18" s="4">
        <f>_xlfn.NORM.S.INV(0.95)*SQRT(SUM($K$5:$K$6))*B9</f>
        <v>10.801617384993421</v>
      </c>
      <c r="C18" s="4">
        <f t="shared" ref="C18:F18" si="6">_xlfn.NORM.S.INV(0.95)*SQRT(SUM($K$5:$K$6))*C9</f>
        <v>7.7466144882276051</v>
      </c>
      <c r="D18" s="4">
        <f t="shared" si="6"/>
        <v>13.038315934411251</v>
      </c>
      <c r="E18" s="4">
        <f t="shared" si="6"/>
        <v>20.512162306856194</v>
      </c>
      <c r="F18" s="4">
        <f t="shared" si="6"/>
        <v>21.712342016299907</v>
      </c>
      <c r="G18" s="20">
        <f t="shared" si="4"/>
        <v>73.811052130788369</v>
      </c>
      <c r="I18" s="6" t="s">
        <v>14</v>
      </c>
      <c r="J18" s="22">
        <f>(($K$5*B8))/2</f>
        <v>1.44</v>
      </c>
      <c r="K18" s="22">
        <f t="shared" ref="K18:N18" si="7">(($K$5*C8))/2</f>
        <v>2.19</v>
      </c>
      <c r="L18" s="22">
        <f t="shared" si="7"/>
        <v>2.4000000000000004</v>
      </c>
      <c r="M18" s="22">
        <f t="shared" si="7"/>
        <v>5.82</v>
      </c>
      <c r="N18" s="22">
        <f t="shared" si="7"/>
        <v>7.62</v>
      </c>
      <c r="P18" s="3"/>
      <c r="Q18" s="26"/>
      <c r="R18" s="26"/>
      <c r="S18" s="26"/>
      <c r="T18" s="26"/>
      <c r="U18" s="26"/>
      <c r="W18" s="3"/>
      <c r="X18" s="26"/>
      <c r="Y18" s="26"/>
      <c r="Z18" s="26"/>
      <c r="AA18" s="26"/>
      <c r="AB18" s="26"/>
    </row>
    <row r="19" spans="1:28" s="17" customFormat="1" x14ac:dyDescent="0.35">
      <c r="A19" s="3"/>
      <c r="B19" s="28"/>
      <c r="C19" s="28"/>
      <c r="D19" s="28"/>
      <c r="E19" s="28"/>
      <c r="F19" s="28"/>
      <c r="G19" s="29"/>
      <c r="I19" s="3"/>
      <c r="J19" s="26"/>
      <c r="K19" s="26"/>
      <c r="L19" s="26"/>
      <c r="M19" s="26"/>
      <c r="N19" s="26"/>
      <c r="P19" s="3"/>
      <c r="Q19" s="26"/>
      <c r="R19" s="26"/>
      <c r="S19" s="26"/>
      <c r="T19" s="26"/>
      <c r="U19" s="26"/>
      <c r="W19" s="3"/>
      <c r="X19" s="26"/>
      <c r="Y19" s="26"/>
      <c r="Z19" s="26"/>
      <c r="AA19" s="26"/>
      <c r="AB19" s="26"/>
    </row>
    <row r="20" spans="1:28" s="17" customFormat="1" x14ac:dyDescent="0.35">
      <c r="A20" s="3"/>
      <c r="B20" s="28"/>
      <c r="C20" s="28"/>
      <c r="D20" s="28"/>
      <c r="E20" s="28"/>
      <c r="F20" s="28"/>
      <c r="G20" s="29"/>
      <c r="I20" s="3"/>
      <c r="J20" s="26"/>
      <c r="K20" s="26"/>
      <c r="L20" s="26"/>
      <c r="M20" s="26"/>
      <c r="N20" s="26"/>
      <c r="P20" s="3"/>
      <c r="Q20" s="26"/>
      <c r="R20" s="26"/>
      <c r="S20" s="26"/>
      <c r="T20" s="26"/>
      <c r="U20" s="26"/>
      <c r="W20" s="3"/>
      <c r="X20" s="26"/>
      <c r="Y20" s="26"/>
      <c r="Z20" s="26"/>
      <c r="AA20" s="26"/>
      <c r="AB20" s="26"/>
    </row>
    <row r="21" spans="1:28" s="17" customFormat="1" x14ac:dyDescent="0.35">
      <c r="A21" s="3" t="s">
        <v>46</v>
      </c>
      <c r="D21" s="17" t="s">
        <v>62</v>
      </c>
      <c r="I21" s="18" t="s">
        <v>43</v>
      </c>
      <c r="M21" s="17" t="s">
        <v>45</v>
      </c>
      <c r="P21" s="18" t="s">
        <v>44</v>
      </c>
      <c r="W21" s="3" t="s">
        <v>47</v>
      </c>
      <c r="X21" s="26"/>
      <c r="Y21" s="26"/>
      <c r="Z21" s="26"/>
      <c r="AA21" s="26"/>
      <c r="AB21" s="26"/>
    </row>
    <row r="22" spans="1:28" s="17" customFormat="1" x14ac:dyDescent="0.35">
      <c r="A22" s="3"/>
      <c r="B22" s="8" t="s">
        <v>0</v>
      </c>
      <c r="C22" s="8" t="s">
        <v>1</v>
      </c>
      <c r="D22" s="8" t="s">
        <v>2</v>
      </c>
      <c r="E22" s="8" t="s">
        <v>3</v>
      </c>
      <c r="F22" s="8" t="s">
        <v>4</v>
      </c>
      <c r="G22" s="38"/>
      <c r="J22" s="8" t="s">
        <v>0</v>
      </c>
      <c r="K22" s="8" t="s">
        <v>1</v>
      </c>
      <c r="L22" s="8" t="s">
        <v>2</v>
      </c>
      <c r="M22" s="8" t="s">
        <v>3</v>
      </c>
      <c r="N22" s="8" t="s">
        <v>4</v>
      </c>
      <c r="Q22" s="8" t="s">
        <v>0</v>
      </c>
      <c r="R22" s="8" t="s">
        <v>1</v>
      </c>
      <c r="S22" s="8" t="s">
        <v>2</v>
      </c>
      <c r="T22" s="8" t="s">
        <v>3</v>
      </c>
      <c r="U22" s="8" t="s">
        <v>4</v>
      </c>
      <c r="X22" s="8" t="s">
        <v>0</v>
      </c>
      <c r="Y22" s="8" t="s">
        <v>1</v>
      </c>
      <c r="Z22" s="8" t="s">
        <v>2</v>
      </c>
      <c r="AA22" s="8" t="s">
        <v>3</v>
      </c>
      <c r="AB22" s="8" t="s">
        <v>4</v>
      </c>
    </row>
    <row r="23" spans="1:28" s="17" customFormat="1" x14ac:dyDescent="0.35">
      <c r="A23" s="6" t="s">
        <v>12</v>
      </c>
      <c r="B23" s="36">
        <f>B16*$K$4</f>
        <v>2084.7939857384654</v>
      </c>
      <c r="C23" s="36">
        <f t="shared" ref="C23:F23" si="8">C16*$K$4</f>
        <v>1935.4534423474577</v>
      </c>
      <c r="D23" s="36">
        <f t="shared" si="8"/>
        <v>1571.062516473399</v>
      </c>
      <c r="E23" s="36">
        <f t="shared" si="8"/>
        <v>1039.4101820014125</v>
      </c>
      <c r="F23" s="36">
        <f t="shared" si="8"/>
        <v>1341.0780796512477</v>
      </c>
      <c r="G23" s="37"/>
      <c r="I23" s="6" t="s">
        <v>12</v>
      </c>
      <c r="J23" s="35">
        <f>J16*$K$4</f>
        <v>5827.59</v>
      </c>
      <c r="K23" s="35">
        <f t="shared" ref="K23:N23" si="9">K16*$K$4</f>
        <v>3713.6925000000001</v>
      </c>
      <c r="L23" s="35">
        <f t="shared" si="9"/>
        <v>2900.6550000000002</v>
      </c>
      <c r="M23" s="35">
        <f t="shared" si="9"/>
        <v>1939.7925</v>
      </c>
      <c r="N23" s="35">
        <f t="shared" si="9"/>
        <v>551.88</v>
      </c>
      <c r="P23" s="6" t="s">
        <v>12</v>
      </c>
      <c r="Q23" s="35">
        <f>365*B2*$K$7*($K$4/365)</f>
        <v>7770.119999999999</v>
      </c>
      <c r="R23" s="35">
        <f t="shared" ref="R23:U23" si="10">365*C2*$K$7*($K$4/365)</f>
        <v>4951.5899999999992</v>
      </c>
      <c r="S23" s="35">
        <f t="shared" si="10"/>
        <v>3867.5399999999995</v>
      </c>
      <c r="T23" s="35">
        <f t="shared" si="10"/>
        <v>2586.3900000000003</v>
      </c>
      <c r="U23" s="35">
        <f t="shared" si="10"/>
        <v>735.83999999999992</v>
      </c>
      <c r="W23" s="6" t="s">
        <v>12</v>
      </c>
      <c r="X23" s="35">
        <f>Q23+J23+B23</f>
        <v>15682.503985738465</v>
      </c>
      <c r="Y23" s="35">
        <f t="shared" ref="Y23:AB25" si="11">R23+K23+C23</f>
        <v>10600.735942347457</v>
      </c>
      <c r="Z23" s="35">
        <f t="shared" si="11"/>
        <v>8339.2575164733989</v>
      </c>
      <c r="AA23" s="35">
        <f t="shared" si="11"/>
        <v>5565.5926820014138</v>
      </c>
      <c r="AB23" s="35">
        <f t="shared" si="11"/>
        <v>2628.7980796512475</v>
      </c>
    </row>
    <row r="24" spans="1:28" s="17" customFormat="1" x14ac:dyDescent="0.35">
      <c r="A24" s="6" t="s">
        <v>13</v>
      </c>
      <c r="B24" s="36">
        <f t="shared" ref="B24:F25" si="12">B17*$K$4</f>
        <v>943.8322342311676</v>
      </c>
      <c r="C24" s="36">
        <f t="shared" si="12"/>
        <v>1851.8227380484934</v>
      </c>
      <c r="D24" s="36">
        <f t="shared" si="12"/>
        <v>1908.5721445370762</v>
      </c>
      <c r="E24" s="36">
        <f t="shared" si="12"/>
        <v>2019.0841466464217</v>
      </c>
      <c r="F24" s="36">
        <f t="shared" si="12"/>
        <v>1063.3046689439736</v>
      </c>
      <c r="G24" s="37"/>
      <c r="I24" s="6" t="s">
        <v>13</v>
      </c>
      <c r="J24" s="35">
        <f t="shared" ref="J24:N25" si="13">J17*$K$4</f>
        <v>407.34</v>
      </c>
      <c r="K24" s="35">
        <f t="shared" si="13"/>
        <v>681.63750000000005</v>
      </c>
      <c r="L24" s="35">
        <f t="shared" si="13"/>
        <v>1010.1375000000002</v>
      </c>
      <c r="M24" s="35">
        <f t="shared" si="13"/>
        <v>1011.78</v>
      </c>
      <c r="N24" s="35">
        <f t="shared" si="13"/>
        <v>1230.2324999999998</v>
      </c>
      <c r="P24" s="6" t="s">
        <v>13</v>
      </c>
      <c r="Q24" s="35">
        <f>365*B5*$K$7*($K$4/365)</f>
        <v>543.12</v>
      </c>
      <c r="R24" s="35">
        <f t="shared" ref="R24:U24" si="14">365*C5*$K$7*($K$4/365)</f>
        <v>908.85000000000014</v>
      </c>
      <c r="S24" s="35">
        <f t="shared" si="14"/>
        <v>1346.85</v>
      </c>
      <c r="T24" s="35">
        <f t="shared" si="14"/>
        <v>1349.04</v>
      </c>
      <c r="U24" s="35">
        <f t="shared" si="14"/>
        <v>1640.31</v>
      </c>
      <c r="W24" s="6" t="s">
        <v>13</v>
      </c>
      <c r="X24" s="35">
        <f t="shared" ref="X24:X25" si="15">Q24+J24+B24</f>
        <v>1894.2922342311676</v>
      </c>
      <c r="Y24" s="35">
        <f t="shared" si="11"/>
        <v>3442.3102380484934</v>
      </c>
      <c r="Z24" s="35">
        <f t="shared" si="11"/>
        <v>4265.5596445370766</v>
      </c>
      <c r="AA24" s="35">
        <f t="shared" si="11"/>
        <v>4379.9041466464214</v>
      </c>
      <c r="AB24" s="35">
        <f t="shared" si="11"/>
        <v>3933.847168943973</v>
      </c>
    </row>
    <row r="25" spans="1:28" s="17" customFormat="1" x14ac:dyDescent="0.35">
      <c r="A25" s="6" t="s">
        <v>14</v>
      </c>
      <c r="B25" s="36">
        <f t="shared" si="12"/>
        <v>591.38855182838972</v>
      </c>
      <c r="C25" s="36">
        <f t="shared" si="12"/>
        <v>424.1271432304614</v>
      </c>
      <c r="D25" s="36">
        <f t="shared" si="12"/>
        <v>713.84779740901604</v>
      </c>
      <c r="E25" s="36">
        <f t="shared" si="12"/>
        <v>1123.0408863003765</v>
      </c>
      <c r="F25" s="36">
        <f t="shared" si="12"/>
        <v>1188.75072539242</v>
      </c>
      <c r="G25" s="37"/>
      <c r="I25" s="6" t="s">
        <v>14</v>
      </c>
      <c r="J25" s="35">
        <f t="shared" si="13"/>
        <v>78.84</v>
      </c>
      <c r="K25" s="35">
        <f t="shared" si="13"/>
        <v>119.9025</v>
      </c>
      <c r="L25" s="35">
        <f t="shared" si="13"/>
        <v>131.4</v>
      </c>
      <c r="M25" s="35">
        <f t="shared" si="13"/>
        <v>318.64500000000004</v>
      </c>
      <c r="N25" s="35">
        <f t="shared" si="13"/>
        <v>417.19499999999999</v>
      </c>
      <c r="P25" s="6" t="s">
        <v>14</v>
      </c>
      <c r="Q25" s="35">
        <f>365*B8*$K$7*($K$4/365)</f>
        <v>105.11999999999999</v>
      </c>
      <c r="R25" s="35">
        <f t="shared" ref="R25:U25" si="16">365*C8*$K$7*($K$4/365)</f>
        <v>159.86999999999998</v>
      </c>
      <c r="S25" s="35">
        <f t="shared" si="16"/>
        <v>175.2</v>
      </c>
      <c r="T25" s="35">
        <f t="shared" si="16"/>
        <v>424.86</v>
      </c>
      <c r="U25" s="35">
        <f t="shared" si="16"/>
        <v>556.26</v>
      </c>
      <c r="W25" s="6" t="s">
        <v>14</v>
      </c>
      <c r="X25" s="35">
        <f t="shared" si="15"/>
        <v>775.34855182838965</v>
      </c>
      <c r="Y25" s="35">
        <f t="shared" si="11"/>
        <v>703.89964323046138</v>
      </c>
      <c r="Z25" s="35">
        <f t="shared" si="11"/>
        <v>1020.4477974090161</v>
      </c>
      <c r="AA25" s="35">
        <f t="shared" si="11"/>
        <v>1866.5458863003767</v>
      </c>
      <c r="AB25" s="35">
        <f t="shared" si="11"/>
        <v>2162.2057253924199</v>
      </c>
    </row>
    <row r="26" spans="1:28" s="17" customFormat="1" x14ac:dyDescent="0.35">
      <c r="A26" s="3"/>
      <c r="B26" s="28"/>
      <c r="C26" s="28"/>
      <c r="D26" s="28"/>
      <c r="E26" s="28"/>
      <c r="F26" s="28"/>
      <c r="G26" s="29"/>
      <c r="I26" s="3"/>
      <c r="J26" s="26"/>
      <c r="K26" s="26"/>
      <c r="L26" s="26"/>
      <c r="M26" s="26"/>
      <c r="N26" s="26"/>
      <c r="P26" s="3"/>
      <c r="Q26" s="26"/>
      <c r="R26" s="26"/>
      <c r="S26" s="26"/>
      <c r="T26" s="26"/>
      <c r="U26" s="26"/>
      <c r="W26" s="3"/>
      <c r="X26" s="26"/>
      <c r="Y26" s="26"/>
      <c r="Z26" s="26"/>
      <c r="AA26" s="26"/>
      <c r="AB26" s="26"/>
    </row>
    <row r="27" spans="1:28" s="31" customFormat="1" x14ac:dyDescent="0.35">
      <c r="A27" s="30" t="s">
        <v>34</v>
      </c>
    </row>
    <row r="28" spans="1:28" s="17" customFormat="1" x14ac:dyDescent="0.35">
      <c r="A28" s="3" t="s">
        <v>35</v>
      </c>
      <c r="B28" s="28"/>
      <c r="C28" s="28"/>
      <c r="D28" s="28"/>
      <c r="E28" s="28" t="s">
        <v>55</v>
      </c>
      <c r="G28" s="29"/>
      <c r="I28" s="3" t="s">
        <v>56</v>
      </c>
      <c r="J28" s="26"/>
      <c r="K28" s="26"/>
      <c r="L28" s="26"/>
      <c r="M28" s="26"/>
      <c r="N28" s="26"/>
      <c r="P28" s="3"/>
      <c r="Q28" s="26"/>
      <c r="R28" s="26"/>
      <c r="S28" s="26"/>
      <c r="T28" s="26"/>
      <c r="U28" s="26"/>
      <c r="W28" s="3"/>
      <c r="X28" s="26"/>
      <c r="Y28" s="26"/>
      <c r="Z28" s="26"/>
      <c r="AA28" s="26"/>
      <c r="AB28" s="26"/>
    </row>
    <row r="29" spans="1:28" s="17" customFormat="1" x14ac:dyDescent="0.35">
      <c r="A29" s="3"/>
      <c r="B29" s="8" t="s">
        <v>0</v>
      </c>
      <c r="C29" s="8" t="s">
        <v>1</v>
      </c>
      <c r="D29" s="8" t="s">
        <v>2</v>
      </c>
      <c r="E29" s="8" t="s">
        <v>3</v>
      </c>
      <c r="F29" s="8" t="s">
        <v>4</v>
      </c>
      <c r="G29" s="29"/>
      <c r="I29" s="3"/>
      <c r="J29" s="8" t="s">
        <v>0</v>
      </c>
      <c r="K29" s="8" t="s">
        <v>1</v>
      </c>
      <c r="L29" s="8" t="s">
        <v>2</v>
      </c>
      <c r="M29" s="8" t="s">
        <v>3</v>
      </c>
      <c r="N29" s="8" t="s">
        <v>4</v>
      </c>
      <c r="O29" s="15" t="s">
        <v>57</v>
      </c>
      <c r="P29" s="3"/>
      <c r="Q29" s="26"/>
      <c r="R29" s="26"/>
      <c r="S29" s="26"/>
      <c r="T29" s="26"/>
      <c r="U29" s="26"/>
      <c r="W29" s="3"/>
      <c r="X29" s="26"/>
      <c r="Y29" s="26"/>
      <c r="Z29" s="26"/>
      <c r="AA29" s="26"/>
      <c r="AB29" s="26"/>
    </row>
    <row r="30" spans="1:28" s="17" customFormat="1" x14ac:dyDescent="0.35">
      <c r="A30" s="6" t="s">
        <v>12</v>
      </c>
      <c r="B30" s="36">
        <f>B2*365*$K$3</f>
        <v>2460.538</v>
      </c>
      <c r="C30" s="36">
        <f t="shared" ref="C30:F30" si="17">C2*365*$K$3</f>
        <v>1568.0035</v>
      </c>
      <c r="D30" s="36">
        <f t="shared" si="17"/>
        <v>1224.721</v>
      </c>
      <c r="E30" s="36">
        <f t="shared" si="17"/>
        <v>819.02350000000013</v>
      </c>
      <c r="F30" s="36">
        <f t="shared" si="17"/>
        <v>233.01599999999996</v>
      </c>
      <c r="G30" s="29"/>
      <c r="I30" s="6" t="s">
        <v>12</v>
      </c>
      <c r="J30" s="36">
        <f>X23+B30</f>
        <v>18143.041985738466</v>
      </c>
      <c r="K30" s="36">
        <f t="shared" ref="K30:N32" si="18">Y23+C30</f>
        <v>12168.739442347458</v>
      </c>
      <c r="L30" s="36">
        <f t="shared" si="18"/>
        <v>9563.9785164733985</v>
      </c>
      <c r="M30" s="36">
        <f t="shared" si="18"/>
        <v>6384.616182001414</v>
      </c>
      <c r="N30" s="36">
        <f t="shared" si="18"/>
        <v>2861.8140796512475</v>
      </c>
      <c r="O30" s="35">
        <f>SUM(J30:N30)*O1</f>
        <v>491221.90206211986</v>
      </c>
      <c r="P30" s="3"/>
      <c r="Q30" s="26"/>
      <c r="R30" s="26"/>
      <c r="S30" s="26"/>
      <c r="T30" s="26"/>
      <c r="U30" s="26"/>
      <c r="W30" s="3"/>
      <c r="X30" s="26"/>
      <c r="Y30" s="26"/>
      <c r="Z30" s="26"/>
      <c r="AA30" s="26"/>
      <c r="AB30" s="26"/>
    </row>
    <row r="31" spans="1:28" s="17" customFormat="1" x14ac:dyDescent="0.35">
      <c r="A31" s="6" t="s">
        <v>13</v>
      </c>
      <c r="B31" s="36">
        <f>B5*365*$K$3</f>
        <v>171.988</v>
      </c>
      <c r="C31" s="36">
        <f t="shared" ref="C31:F31" si="19">C5*365*$K$3</f>
        <v>287.80250000000007</v>
      </c>
      <c r="D31" s="36">
        <f t="shared" si="19"/>
        <v>426.5025</v>
      </c>
      <c r="E31" s="36">
        <f t="shared" si="19"/>
        <v>427.19600000000003</v>
      </c>
      <c r="F31" s="36">
        <f t="shared" si="19"/>
        <v>519.43150000000003</v>
      </c>
      <c r="G31" s="29"/>
      <c r="I31" s="6" t="s">
        <v>13</v>
      </c>
      <c r="J31" s="36">
        <f t="shared" ref="J31" si="20">X24+B31</f>
        <v>2066.2802342311675</v>
      </c>
      <c r="K31" s="36">
        <f t="shared" si="18"/>
        <v>3730.1127380484936</v>
      </c>
      <c r="L31" s="36">
        <f t="shared" si="18"/>
        <v>4692.0621445370762</v>
      </c>
      <c r="M31" s="36">
        <f t="shared" si="18"/>
        <v>4807.1001466464213</v>
      </c>
      <c r="N31" s="36">
        <f t="shared" si="18"/>
        <v>4453.2786689439727</v>
      </c>
      <c r="O31" s="35">
        <f t="shared" ref="O31:O32" si="21">SUM(J31:N31)*O2</f>
        <v>394976.67864814273</v>
      </c>
      <c r="P31" s="3"/>
      <c r="Q31" s="26"/>
      <c r="R31" s="26"/>
      <c r="S31" s="26"/>
      <c r="T31" s="26"/>
      <c r="U31" s="26"/>
      <c r="W31" s="3"/>
      <c r="X31" s="26"/>
      <c r="Y31" s="26"/>
      <c r="Z31" s="26"/>
      <c r="AA31" s="26"/>
      <c r="AB31" s="26"/>
    </row>
    <row r="32" spans="1:28" s="17" customFormat="1" x14ac:dyDescent="0.35">
      <c r="A32" s="6" t="s">
        <v>14</v>
      </c>
      <c r="B32" s="36">
        <f>B8*365*$K$3</f>
        <v>33.287999999999997</v>
      </c>
      <c r="C32" s="36">
        <f t="shared" ref="C32:E32" si="22">C8*365*$K$3</f>
        <v>50.625499999999995</v>
      </c>
      <c r="D32" s="36">
        <f t="shared" si="22"/>
        <v>55.480000000000004</v>
      </c>
      <c r="E32" s="36">
        <f t="shared" si="22"/>
        <v>134.53900000000002</v>
      </c>
      <c r="F32" s="36">
        <f>F8*365*$K$3</f>
        <v>176.149</v>
      </c>
      <c r="G32" s="29"/>
      <c r="I32" s="6" t="s">
        <v>14</v>
      </c>
      <c r="J32" s="36">
        <f>X25+B32</f>
        <v>808.63655182838966</v>
      </c>
      <c r="K32" s="36">
        <f t="shared" si="18"/>
        <v>754.52514323046137</v>
      </c>
      <c r="L32" s="36">
        <f t="shared" si="18"/>
        <v>1075.927797409016</v>
      </c>
      <c r="M32" s="36">
        <f t="shared" si="18"/>
        <v>2001.0848863003766</v>
      </c>
      <c r="N32" s="36">
        <f t="shared" si="18"/>
        <v>2338.3547253924198</v>
      </c>
      <c r="O32" s="35">
        <f t="shared" si="21"/>
        <v>488497.03729124641</v>
      </c>
      <c r="P32" s="3"/>
      <c r="Q32" s="26"/>
      <c r="R32" s="26"/>
      <c r="S32" s="26"/>
      <c r="T32" s="26"/>
      <c r="U32" s="26"/>
      <c r="W32" s="3"/>
      <c r="X32" s="26"/>
      <c r="Y32" s="26"/>
      <c r="Z32" s="26"/>
      <c r="AA32" s="26"/>
      <c r="AB32" s="26"/>
    </row>
    <row r="33" spans="1:28" s="17" customFormat="1" x14ac:dyDescent="0.35">
      <c r="A33" s="3"/>
      <c r="B33" s="28"/>
      <c r="C33" s="28"/>
      <c r="D33" s="28"/>
      <c r="E33" s="28"/>
      <c r="F33" s="28"/>
      <c r="G33" s="29"/>
      <c r="I33" s="3"/>
      <c r="J33" s="26"/>
      <c r="K33" s="26"/>
      <c r="L33" s="26"/>
      <c r="M33" s="26"/>
      <c r="N33" s="44" t="s">
        <v>61</v>
      </c>
      <c r="O33" s="54">
        <f>SUM(O30:O32)</f>
        <v>1374695.618001509</v>
      </c>
      <c r="P33" s="3"/>
      <c r="Q33" s="26"/>
      <c r="R33" s="26"/>
      <c r="S33" s="26"/>
      <c r="T33" s="26"/>
      <c r="U33" s="26"/>
      <c r="W33" s="3"/>
      <c r="X33" s="26"/>
      <c r="Y33" s="26"/>
      <c r="Z33" s="26"/>
      <c r="AA33" s="26"/>
      <c r="AB33" s="26"/>
    </row>
    <row r="34" spans="1:28" s="17" customFormat="1" x14ac:dyDescent="0.35">
      <c r="A34" s="3"/>
      <c r="B34" s="28"/>
      <c r="C34" s="28"/>
      <c r="D34" s="28"/>
      <c r="E34" s="28"/>
      <c r="F34" s="28"/>
      <c r="G34" s="29"/>
      <c r="I34" s="3"/>
      <c r="J34" s="26"/>
      <c r="K34" s="26"/>
      <c r="L34" s="26"/>
      <c r="M34" s="26"/>
      <c r="N34" s="26"/>
      <c r="P34" s="3"/>
      <c r="Q34" s="26"/>
      <c r="R34" s="26"/>
      <c r="S34" s="26"/>
      <c r="T34" s="26"/>
      <c r="U34" s="26"/>
      <c r="W34" s="3"/>
      <c r="X34" s="26"/>
      <c r="Y34" s="26"/>
      <c r="Z34" s="26"/>
      <c r="AA34" s="26"/>
      <c r="AB34" s="26"/>
    </row>
    <row r="35" spans="1:28" s="17" customFormat="1" x14ac:dyDescent="0.35">
      <c r="A35" s="3"/>
    </row>
    <row r="36" spans="1:28" s="17" customFormat="1" x14ac:dyDescent="0.35">
      <c r="A36" s="3"/>
    </row>
    <row r="37" spans="1:28" s="17" customFormat="1" x14ac:dyDescent="0.35">
      <c r="A37" s="3"/>
    </row>
    <row r="38" spans="1:28" s="33" customFormat="1" x14ac:dyDescent="0.35">
      <c r="A38" s="32" t="s">
        <v>32</v>
      </c>
    </row>
    <row r="39" spans="1:28" s="17" customFormat="1" x14ac:dyDescent="0.35">
      <c r="A39" s="59"/>
      <c r="B39" s="60"/>
      <c r="C39" s="60"/>
      <c r="D39" s="60"/>
      <c r="E39" s="60"/>
      <c r="F39" s="60"/>
    </row>
    <row r="40" spans="1:28" ht="21" x14ac:dyDescent="0.55000000000000004">
      <c r="A40" s="59" t="s">
        <v>27</v>
      </c>
      <c r="B40" s="61" t="s">
        <v>101</v>
      </c>
      <c r="C40" s="61"/>
      <c r="D40" s="61"/>
      <c r="E40" s="61"/>
      <c r="F40" s="61"/>
    </row>
    <row r="41" spans="1:28" x14ac:dyDescent="0.35">
      <c r="A41" s="62" t="s">
        <v>12</v>
      </c>
      <c r="B41" s="63" t="s">
        <v>0</v>
      </c>
      <c r="C41" s="63" t="s">
        <v>1</v>
      </c>
      <c r="D41" s="63" t="s">
        <v>2</v>
      </c>
      <c r="E41" s="63" t="s">
        <v>3</v>
      </c>
      <c r="F41" s="63" t="s">
        <v>4</v>
      </c>
      <c r="H41" s="14" t="s">
        <v>13</v>
      </c>
      <c r="I41" s="8" t="s">
        <v>0</v>
      </c>
      <c r="J41" s="8" t="s">
        <v>1</v>
      </c>
      <c r="K41" s="8" t="s">
        <v>2</v>
      </c>
      <c r="L41" s="8" t="s">
        <v>3</v>
      </c>
      <c r="M41" s="8" t="s">
        <v>4</v>
      </c>
      <c r="O41" s="14" t="s">
        <v>14</v>
      </c>
      <c r="P41" s="8" t="s">
        <v>0</v>
      </c>
      <c r="Q41" s="8" t="s">
        <v>1</v>
      </c>
      <c r="R41" s="8" t="s">
        <v>2</v>
      </c>
      <c r="S41" s="8" t="s">
        <v>3</v>
      </c>
      <c r="T41" s="8" t="s">
        <v>4</v>
      </c>
    </row>
    <row r="42" spans="1:28" x14ac:dyDescent="0.35">
      <c r="A42" s="64" t="s">
        <v>0</v>
      </c>
      <c r="B42" s="65"/>
      <c r="C42" s="65">
        <v>0</v>
      </c>
      <c r="D42" s="65">
        <v>0</v>
      </c>
      <c r="E42" s="65">
        <v>0</v>
      </c>
      <c r="F42" s="65">
        <v>0</v>
      </c>
      <c r="H42" s="5" t="s">
        <v>0</v>
      </c>
      <c r="I42" s="4"/>
      <c r="J42" s="4">
        <f>$H$9*$B$6*C6</f>
        <v>19.592000000000002</v>
      </c>
      <c r="K42" s="4">
        <f>$H$9*$B$6*D6</f>
        <v>20.192399999999999</v>
      </c>
      <c r="L42" s="4">
        <f>$H$9*$B$6*E6</f>
        <v>21.361599999999999</v>
      </c>
      <c r="M42" s="4">
        <f>$H$9*$B$6*F6</f>
        <v>11.249600000000001</v>
      </c>
      <c r="O42" s="5" t="s">
        <v>0</v>
      </c>
      <c r="P42" s="4"/>
      <c r="Q42" s="4">
        <f>$H$9*$B$9*C9</f>
        <v>2.8115999999999999</v>
      </c>
      <c r="R42" s="4">
        <f>$H$9*$B$9*D9</f>
        <v>4.7322000000000006</v>
      </c>
      <c r="S42" s="4">
        <f>$H$9*$B$9*E9</f>
        <v>7.4447999999999999</v>
      </c>
      <c r="T42" s="4">
        <f>$H$9*$B$9*F9</f>
        <v>7.8803999999999998</v>
      </c>
    </row>
    <row r="43" spans="1:28" x14ac:dyDescent="0.35">
      <c r="A43" s="64" t="s">
        <v>1</v>
      </c>
      <c r="B43" s="65"/>
      <c r="C43" s="65">
        <v>0</v>
      </c>
      <c r="D43" s="65">
        <v>0</v>
      </c>
      <c r="E43" s="65">
        <v>0</v>
      </c>
      <c r="F43" s="65">
        <v>0</v>
      </c>
      <c r="H43" s="5" t="s">
        <v>1</v>
      </c>
      <c r="I43" s="4"/>
      <c r="J43" s="4"/>
      <c r="K43" s="4">
        <f>$H$9*$C$6*D6</f>
        <v>39.618000000000002</v>
      </c>
      <c r="L43" s="4">
        <f>$H$9*$C$6*E6</f>
        <v>41.911999999999999</v>
      </c>
      <c r="M43" s="4">
        <f>$H$9*$C$6*F6</f>
        <v>22.072000000000003</v>
      </c>
      <c r="O43" s="5" t="s">
        <v>1</v>
      </c>
      <c r="P43" s="4"/>
      <c r="Q43" s="4"/>
      <c r="R43" s="4">
        <f>$H$9*$C$9*D9</f>
        <v>3.3938000000000001</v>
      </c>
      <c r="S43" s="4">
        <f>$H$9*$C$9*E9</f>
        <v>5.3391999999999991</v>
      </c>
      <c r="T43" s="4">
        <f>$H$9*$C$9*F9</f>
        <v>5.6515999999999993</v>
      </c>
    </row>
    <row r="44" spans="1:28" x14ac:dyDescent="0.35">
      <c r="A44" s="64" t="s">
        <v>2</v>
      </c>
      <c r="B44" s="65"/>
      <c r="C44" s="65">
        <v>0</v>
      </c>
      <c r="D44" s="65">
        <v>0</v>
      </c>
      <c r="E44" s="65">
        <v>0</v>
      </c>
      <c r="F44" s="65">
        <v>0</v>
      </c>
      <c r="H44" s="5" t="s">
        <v>2</v>
      </c>
      <c r="I44" s="4"/>
      <c r="J44" s="4"/>
      <c r="K44" s="4"/>
      <c r="L44" s="4">
        <f>$H$9*$D$6*E6</f>
        <v>43.196399999999997</v>
      </c>
      <c r="M44" s="4">
        <f>$H$9*$D$6*F6</f>
        <v>22.7484</v>
      </c>
      <c r="O44" s="5" t="s">
        <v>2</v>
      </c>
      <c r="P44" s="4"/>
      <c r="Q44" s="4"/>
      <c r="R44" s="4"/>
      <c r="S44" s="4">
        <f>$H$9*$D$9*E9</f>
        <v>8.9863999999999997</v>
      </c>
      <c r="T44" s="4">
        <f>$H$9*$D$9*F9</f>
        <v>9.5122</v>
      </c>
    </row>
    <row r="45" spans="1:28" x14ac:dyDescent="0.35">
      <c r="A45" s="64" t="s">
        <v>3</v>
      </c>
      <c r="B45" s="65"/>
      <c r="C45" s="65">
        <v>0</v>
      </c>
      <c r="D45" s="65">
        <v>0</v>
      </c>
      <c r="E45" s="65">
        <v>0</v>
      </c>
      <c r="F45" s="65">
        <v>0</v>
      </c>
      <c r="H45" s="5" t="s">
        <v>3</v>
      </c>
      <c r="I45" s="4"/>
      <c r="J45" s="4"/>
      <c r="K45" s="4"/>
      <c r="L45" s="4"/>
      <c r="M45" s="4">
        <f>$H$9*E6*F6</f>
        <v>24.0656</v>
      </c>
      <c r="O45" s="5" t="s">
        <v>3</v>
      </c>
      <c r="P45" s="4"/>
      <c r="Q45" s="4"/>
      <c r="R45" s="4"/>
      <c r="S45" s="4"/>
      <c r="T45" s="4">
        <f>$H$9*$E$9*F9</f>
        <v>14.964799999999999</v>
      </c>
    </row>
    <row r="46" spans="1:28" x14ac:dyDescent="0.35">
      <c r="A46" s="64" t="s">
        <v>4</v>
      </c>
      <c r="B46" s="65"/>
      <c r="C46" s="65"/>
      <c r="D46" s="65"/>
      <c r="E46" s="65"/>
      <c r="F46" s="65"/>
      <c r="H46" s="5" t="s">
        <v>4</v>
      </c>
      <c r="I46" s="4"/>
      <c r="J46" s="4"/>
      <c r="K46" s="4"/>
      <c r="L46" s="4"/>
      <c r="M46" s="4"/>
      <c r="O46" s="5" t="s">
        <v>4</v>
      </c>
      <c r="P46" s="4"/>
      <c r="Q46" s="4"/>
      <c r="R46" s="4"/>
      <c r="S46" s="4"/>
      <c r="T46" s="4"/>
    </row>
    <row r="47" spans="1:28" x14ac:dyDescent="0.35">
      <c r="A47" s="61"/>
      <c r="B47" s="61"/>
      <c r="C47" s="61"/>
      <c r="D47" s="61"/>
      <c r="E47" s="61"/>
      <c r="F47" s="61"/>
    </row>
    <row r="48" spans="1:28" x14ac:dyDescent="0.35">
      <c r="A48" s="8" t="s">
        <v>11</v>
      </c>
      <c r="B48" s="15" t="s">
        <v>70</v>
      </c>
      <c r="C48" s="15" t="s">
        <v>63</v>
      </c>
    </row>
    <row r="49" spans="1:10" x14ac:dyDescent="0.35">
      <c r="A49" s="15" t="s">
        <v>12</v>
      </c>
      <c r="B49" s="4">
        <v>0</v>
      </c>
      <c r="C49" s="4">
        <v>0</v>
      </c>
    </row>
    <row r="50" spans="1:10" x14ac:dyDescent="0.35">
      <c r="A50" s="16" t="s">
        <v>13</v>
      </c>
      <c r="B50" s="4">
        <f>SQRT(SUM(B7:F7)+(2*SUM(I42:M46)))</f>
        <v>26.07</v>
      </c>
      <c r="C50" s="4">
        <f>SUM(B5:F5)</f>
        <v>26.43</v>
      </c>
    </row>
    <row r="51" spans="1:10" x14ac:dyDescent="0.35">
      <c r="A51" s="16" t="s">
        <v>14</v>
      </c>
      <c r="B51" s="4">
        <f>SQRT(SUM(B10:F10)+(2*SUM(P42:T46)))</f>
        <v>13.53</v>
      </c>
      <c r="C51" s="4">
        <f>SUM(B8:F8)</f>
        <v>6.49</v>
      </c>
    </row>
    <row r="53" spans="1:10" ht="19" x14ac:dyDescent="0.45">
      <c r="A53" s="3" t="s">
        <v>19</v>
      </c>
      <c r="B53" s="17"/>
      <c r="C53" s="17" t="s">
        <v>26</v>
      </c>
      <c r="D53" s="18" t="s">
        <v>30</v>
      </c>
      <c r="E53" s="17"/>
      <c r="F53" s="17" t="s">
        <v>39</v>
      </c>
      <c r="G53" s="17"/>
      <c r="H53" s="18" t="s">
        <v>86</v>
      </c>
      <c r="I53" s="17"/>
      <c r="J53" s="17" t="s">
        <v>42</v>
      </c>
    </row>
    <row r="54" spans="1:10" ht="43.5" x14ac:dyDescent="0.35">
      <c r="A54" s="3"/>
      <c r="B54" s="8" t="s">
        <v>64</v>
      </c>
      <c r="D54" s="17"/>
      <c r="E54" s="8" t="s">
        <v>65</v>
      </c>
      <c r="H54" s="8" t="s">
        <v>75</v>
      </c>
      <c r="I54" s="8" t="s">
        <v>87</v>
      </c>
    </row>
    <row r="55" spans="1:10" x14ac:dyDescent="0.35">
      <c r="A55" s="6" t="s">
        <v>12</v>
      </c>
      <c r="B55" s="4">
        <f>_xlfn.NORM.S.INV(0.95)*SQRT(SUM($K$5:$K$6))*B49</f>
        <v>0</v>
      </c>
      <c r="D55" s="6" t="s">
        <v>12</v>
      </c>
      <c r="E55" s="22">
        <f>((C49*$K$5))/2</f>
        <v>0</v>
      </c>
      <c r="H55" s="6" t="s">
        <v>12</v>
      </c>
      <c r="I55" s="35">
        <f>365*C49*$P$7*($K$4/365)</f>
        <v>0</v>
      </c>
    </row>
    <row r="56" spans="1:10" x14ac:dyDescent="0.35">
      <c r="A56" s="6" t="s">
        <v>13</v>
      </c>
      <c r="B56" s="4">
        <f t="shared" ref="B56:B57" si="23">_xlfn.NORM.S.INV(0.95)*SQRT(SUM($K$5:$K$6))*B50</f>
        <v>142.22129556908004</v>
      </c>
      <c r="D56" s="6" t="s">
        <v>13</v>
      </c>
      <c r="E56" s="22">
        <f>(($K$5*C50))/2</f>
        <v>79.289999999999992</v>
      </c>
      <c r="H56" s="6" t="s">
        <v>13</v>
      </c>
      <c r="I56" s="35">
        <f t="shared" ref="I56:I57" si="24">365*C50*$P$7*($K$4/365)</f>
        <v>4341.1275000000005</v>
      </c>
    </row>
    <row r="57" spans="1:10" x14ac:dyDescent="0.35">
      <c r="A57" s="6" t="s">
        <v>14</v>
      </c>
      <c r="B57" s="4">
        <f t="shared" si="23"/>
        <v>73.811052130788383</v>
      </c>
      <c r="D57" s="6" t="s">
        <v>14</v>
      </c>
      <c r="E57" s="22">
        <f>(($K$5*C51))/2</f>
        <v>19.47</v>
      </c>
      <c r="H57" s="6" t="s">
        <v>14</v>
      </c>
      <c r="I57" s="35">
        <f t="shared" si="24"/>
        <v>1065.9824999999998</v>
      </c>
    </row>
    <row r="58" spans="1:10" x14ac:dyDescent="0.35">
      <c r="D58" s="3"/>
      <c r="E58" s="26"/>
      <c r="F58" s="26"/>
      <c r="G58" s="26"/>
      <c r="H58" s="26"/>
      <c r="I58" s="26"/>
    </row>
    <row r="59" spans="1:10" x14ac:dyDescent="0.35">
      <c r="A59" s="13" t="s">
        <v>76</v>
      </c>
      <c r="B59" s="13" t="s">
        <v>51</v>
      </c>
      <c r="D59" s="3"/>
      <c r="E59" s="45" t="s">
        <v>76</v>
      </c>
      <c r="F59" s="47" t="s">
        <v>47</v>
      </c>
      <c r="G59" s="26"/>
      <c r="H59" s="47" t="s">
        <v>77</v>
      </c>
      <c r="I59" s="26"/>
    </row>
    <row r="60" spans="1:10" x14ac:dyDescent="0.35">
      <c r="A60" s="6" t="s">
        <v>12</v>
      </c>
      <c r="B60" s="36">
        <f>SUM(B30:F30)</f>
        <v>6305.3020000000006</v>
      </c>
      <c r="E60" s="6" t="s">
        <v>12</v>
      </c>
      <c r="F60" s="36">
        <f>SUM(X23:AB23)</f>
        <v>42816.888206211988</v>
      </c>
      <c r="H60" s="36">
        <f>SUM(B60,F60)*O1</f>
        <v>491221.90206211992</v>
      </c>
    </row>
    <row r="61" spans="1:10" x14ac:dyDescent="0.35">
      <c r="A61" s="6" t="s">
        <v>13</v>
      </c>
      <c r="B61" s="36">
        <f t="shared" ref="B61:B62" si="25">C50*365*$K$12</f>
        <v>2797.6154999999999</v>
      </c>
      <c r="E61" s="6" t="s">
        <v>13</v>
      </c>
      <c r="F61" s="36">
        <f t="shared" ref="F61:F62" si="26">(SUM(B56,E56)*$K$4) + I56</f>
        <v>16468.870932407131</v>
      </c>
      <c r="H61" s="36">
        <f>SUM(B61,F61)*O2</f>
        <v>385329.72864814266</v>
      </c>
    </row>
    <row r="62" spans="1:10" x14ac:dyDescent="0.35">
      <c r="A62" s="6" t="s">
        <v>14</v>
      </c>
      <c r="B62" s="36">
        <f t="shared" si="25"/>
        <v>686.96649999999988</v>
      </c>
      <c r="E62" s="6" t="s">
        <v>14</v>
      </c>
      <c r="F62" s="36">
        <f t="shared" si="26"/>
        <v>6173.1201041606637</v>
      </c>
      <c r="H62" s="36">
        <f>SUM(B62,F62)*O3</f>
        <v>480206.06229124643</v>
      </c>
    </row>
    <row r="63" spans="1:10" x14ac:dyDescent="0.35">
      <c r="G63" s="21" t="s">
        <v>66</v>
      </c>
      <c r="H63" s="54">
        <f>SUM(H60:H62)</f>
        <v>1356757.6930015089</v>
      </c>
    </row>
    <row r="64" spans="1:10" ht="15" customHeight="1" x14ac:dyDescent="0.35">
      <c r="G64" s="21"/>
      <c r="H64" s="53"/>
    </row>
    <row r="65" spans="1:8" x14ac:dyDescent="0.35">
      <c r="G65" s="21"/>
      <c r="H65" s="53"/>
    </row>
    <row r="66" spans="1:8" x14ac:dyDescent="0.35">
      <c r="A66" s="13" t="s">
        <v>78</v>
      </c>
      <c r="B66" s="45" t="s">
        <v>79</v>
      </c>
      <c r="H66" s="34"/>
    </row>
    <row r="67" spans="1:8" x14ac:dyDescent="0.35">
      <c r="A67">
        <f>C49*365*O1</f>
        <v>0</v>
      </c>
    </row>
    <row r="68" spans="1:8" x14ac:dyDescent="0.35">
      <c r="A68">
        <f>C50*365*O2</f>
        <v>192939</v>
      </c>
    </row>
    <row r="69" spans="1:8" x14ac:dyDescent="0.35">
      <c r="A69">
        <f>C51*365*O3</f>
        <v>165819.5</v>
      </c>
    </row>
    <row r="70" spans="1:8" x14ac:dyDescent="0.35">
      <c r="A70" s="48">
        <f>SUM(A67:A69)</f>
        <v>358758.5</v>
      </c>
      <c r="E70" s="40"/>
    </row>
    <row r="71" spans="1:8" x14ac:dyDescent="0.35">
      <c r="A71" s="4">
        <f>A70/1000</f>
        <v>358.75850000000003</v>
      </c>
      <c r="B71" s="49">
        <f xml:space="preserve"> -0.0009*(A71^3) + 0.3998*(A71^2) + 2000.5*(A71) + 396.83</f>
        <v>727993.06148360495</v>
      </c>
    </row>
    <row r="73" spans="1:8" x14ac:dyDescent="0.35">
      <c r="A73" s="40" t="s">
        <v>80</v>
      </c>
      <c r="D73" s="40"/>
    </row>
    <row r="74" spans="1:8" x14ac:dyDescent="0.35">
      <c r="A74" s="48" t="s">
        <v>81</v>
      </c>
      <c r="B74" s="48" t="s">
        <v>84</v>
      </c>
      <c r="D74" s="48" t="s">
        <v>88</v>
      </c>
      <c r="E74" s="40"/>
    </row>
    <row r="75" spans="1:8" x14ac:dyDescent="0.35">
      <c r="A75" s="4">
        <v>0</v>
      </c>
      <c r="B75" s="55">
        <f>PMT($O$5,3,$B$71)</f>
        <v>-303099.16900309332</v>
      </c>
      <c r="D75" s="52">
        <f>O33-H63</f>
        <v>17937.925000000047</v>
      </c>
      <c r="E75" s="50"/>
    </row>
    <row r="76" spans="1:8" x14ac:dyDescent="0.35">
      <c r="A76" s="4">
        <v>1</v>
      </c>
      <c r="B76" s="55">
        <f>PMT($O$5,3,$B$71)</f>
        <v>-303099.16900309332</v>
      </c>
      <c r="E76" s="50"/>
    </row>
    <row r="77" spans="1:8" x14ac:dyDescent="0.35">
      <c r="A77" s="4">
        <v>2</v>
      </c>
      <c r="B77" s="55">
        <f>PMT($O$5,3,$B$71)</f>
        <v>-303099.16900309332</v>
      </c>
      <c r="D77" t="s">
        <v>89</v>
      </c>
      <c r="E77" s="50"/>
    </row>
    <row r="78" spans="1:8" x14ac:dyDescent="0.35">
      <c r="A78" s="4">
        <v>3</v>
      </c>
      <c r="B78" s="55">
        <v>0</v>
      </c>
      <c r="D78" s="66">
        <f>B79/D75</f>
        <v>-45.454099560659067</v>
      </c>
      <c r="E78" s="50"/>
    </row>
    <row r="79" spans="1:8" x14ac:dyDescent="0.35">
      <c r="A79" s="56" t="s">
        <v>82</v>
      </c>
      <c r="B79" s="55">
        <f>NPV(O5, B76:B78)+B75</f>
        <v>-815352.22886163741</v>
      </c>
      <c r="E79" s="34"/>
    </row>
    <row r="80" spans="1:8" x14ac:dyDescent="0.35">
      <c r="D80" t="s">
        <v>90</v>
      </c>
      <c r="E80" s="50"/>
    </row>
    <row r="81" spans="1:5" x14ac:dyDescent="0.35">
      <c r="E81" s="50"/>
    </row>
    <row r="82" spans="1:5" x14ac:dyDescent="0.35">
      <c r="D82" s="51"/>
      <c r="E82" s="50"/>
    </row>
    <row r="83" spans="1:5" x14ac:dyDescent="0.35">
      <c r="A83" t="s">
        <v>102</v>
      </c>
    </row>
  </sheetData>
  <pageMargins left="0.7" right="0.7" top="0.75" bottom="0.75" header="0.3" footer="0.3"/>
  <pageSetup orientation="portrait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0"/>
  <sheetViews>
    <sheetView topLeftCell="A55" zoomScaleNormal="100" workbookViewId="0">
      <selection activeCell="B77" sqref="B77"/>
    </sheetView>
  </sheetViews>
  <sheetFormatPr defaultRowHeight="14.5" x14ac:dyDescent="0.35"/>
  <cols>
    <col min="1" max="1" width="18.54296875" customWidth="1"/>
    <col min="2" max="2" width="13.90625" bestFit="1" customWidth="1"/>
    <col min="3" max="3" width="11.36328125" customWidth="1"/>
    <col min="4" max="4" width="12.6328125" customWidth="1"/>
    <col min="5" max="5" width="16.81640625" customWidth="1"/>
    <col min="6" max="6" width="16.90625" customWidth="1"/>
    <col min="7" max="7" width="13.453125" customWidth="1"/>
    <col min="8" max="8" width="14.90625" bestFit="1" customWidth="1"/>
    <col min="9" max="9" width="11.08984375" bestFit="1" customWidth="1"/>
    <col min="10" max="12" width="12.1796875" bestFit="1" customWidth="1"/>
    <col min="13" max="13" width="15.453125" customWidth="1"/>
    <col min="14" max="14" width="12.1796875" bestFit="1" customWidth="1"/>
    <col min="15" max="15" width="14.90625" bestFit="1" customWidth="1"/>
    <col min="17" max="17" width="12.1796875" bestFit="1" customWidth="1"/>
    <col min="18" max="18" width="14.1796875" customWidth="1"/>
    <col min="19" max="19" width="14.08984375" customWidth="1"/>
    <col min="20" max="20" width="13" customWidth="1"/>
    <col min="21" max="21" width="13.6328125" customWidth="1"/>
    <col min="24" max="28" width="12.1796875" bestFit="1" customWidth="1"/>
    <col min="30" max="30" width="10.1796875" bestFit="1" customWidth="1"/>
  </cols>
  <sheetData>
    <row r="1" spans="1:30" ht="15" thickBot="1" x14ac:dyDescent="0.4">
      <c r="A1" s="1"/>
      <c r="B1" s="8" t="s">
        <v>0</v>
      </c>
      <c r="C1" s="8" t="s">
        <v>1</v>
      </c>
      <c r="D1" s="8" t="s">
        <v>2</v>
      </c>
      <c r="E1" s="8" t="s">
        <v>3</v>
      </c>
      <c r="F1" s="8" t="s">
        <v>4</v>
      </c>
      <c r="I1" s="41" t="s">
        <v>49</v>
      </c>
      <c r="J1" t="s">
        <v>52</v>
      </c>
      <c r="K1" s="34">
        <v>0.09</v>
      </c>
      <c r="L1" s="43" t="s">
        <v>54</v>
      </c>
      <c r="N1" s="21" t="s">
        <v>58</v>
      </c>
      <c r="O1">
        <v>10</v>
      </c>
    </row>
    <row r="2" spans="1:30" ht="15" thickBot="1" x14ac:dyDescent="0.4">
      <c r="A2" s="9" t="s">
        <v>5</v>
      </c>
      <c r="B2" s="2">
        <v>35.479999999999997</v>
      </c>
      <c r="C2" s="2">
        <v>22.61</v>
      </c>
      <c r="D2" s="2">
        <v>17.66</v>
      </c>
      <c r="E2" s="2">
        <v>11.81</v>
      </c>
      <c r="F2" s="2">
        <v>3.36</v>
      </c>
      <c r="I2" s="21" t="s">
        <v>50</v>
      </c>
      <c r="J2" t="s">
        <v>53</v>
      </c>
      <c r="K2" s="34">
        <v>0.1</v>
      </c>
      <c r="L2" s="43" t="s">
        <v>54</v>
      </c>
      <c r="N2" s="21" t="s">
        <v>59</v>
      </c>
      <c r="O2">
        <v>20</v>
      </c>
    </row>
    <row r="3" spans="1:30" ht="15" thickBot="1" x14ac:dyDescent="0.4">
      <c r="A3" s="9" t="s">
        <v>6</v>
      </c>
      <c r="B3" s="2">
        <v>6.98</v>
      </c>
      <c r="C3" s="2">
        <v>6.48</v>
      </c>
      <c r="D3" s="2">
        <v>5.26</v>
      </c>
      <c r="E3" s="2">
        <v>3.48</v>
      </c>
      <c r="F3" s="2">
        <v>4.49</v>
      </c>
      <c r="I3" s="21" t="s">
        <v>51</v>
      </c>
      <c r="K3" s="42">
        <f>SUM(K1:K2)</f>
        <v>0.19</v>
      </c>
      <c r="L3" s="43" t="s">
        <v>54</v>
      </c>
      <c r="N3" s="21" t="s">
        <v>60</v>
      </c>
      <c r="O3">
        <v>70</v>
      </c>
    </row>
    <row r="4" spans="1:30" ht="15" thickBot="1" x14ac:dyDescent="0.4">
      <c r="A4" s="9" t="s">
        <v>15</v>
      </c>
      <c r="B4" s="2">
        <f>B3^2</f>
        <v>48.720400000000005</v>
      </c>
      <c r="C4" s="2">
        <f t="shared" ref="C4:F4" si="0">C3^2</f>
        <v>41.990400000000008</v>
      </c>
      <c r="D4" s="2">
        <f t="shared" si="0"/>
        <v>27.667599999999997</v>
      </c>
      <c r="E4" s="2">
        <f t="shared" si="0"/>
        <v>12.1104</v>
      </c>
      <c r="F4" s="2">
        <f t="shared" si="0"/>
        <v>20.160100000000003</v>
      </c>
      <c r="I4" s="21" t="s">
        <v>36</v>
      </c>
      <c r="J4" t="s">
        <v>37</v>
      </c>
      <c r="K4" s="34">
        <f>0.15*365</f>
        <v>54.75</v>
      </c>
      <c r="L4" t="s">
        <v>38</v>
      </c>
      <c r="N4" s="34"/>
    </row>
    <row r="5" spans="1:30" ht="15" thickBot="1" x14ac:dyDescent="0.4">
      <c r="A5" s="9" t="s">
        <v>7</v>
      </c>
      <c r="B5" s="2">
        <v>2.48</v>
      </c>
      <c r="C5" s="2">
        <v>4.1500000000000004</v>
      </c>
      <c r="D5" s="2">
        <v>6.15</v>
      </c>
      <c r="E5" s="2">
        <v>6.16</v>
      </c>
      <c r="F5" s="2">
        <v>7.49</v>
      </c>
      <c r="I5" s="21" t="s">
        <v>21</v>
      </c>
      <c r="J5" t="s">
        <v>24</v>
      </c>
      <c r="K5">
        <v>6</v>
      </c>
      <c r="L5" t="s">
        <v>22</v>
      </c>
      <c r="N5" t="s">
        <v>91</v>
      </c>
      <c r="O5" s="57">
        <v>0.12</v>
      </c>
    </row>
    <row r="6" spans="1:30" ht="25.5" thickBot="1" x14ac:dyDescent="0.55000000000000004">
      <c r="A6" s="9" t="s">
        <v>8</v>
      </c>
      <c r="B6" s="2">
        <v>3.16</v>
      </c>
      <c r="C6" s="2">
        <v>6.2</v>
      </c>
      <c r="D6" s="2">
        <v>6.39</v>
      </c>
      <c r="E6" s="2">
        <v>6.76</v>
      </c>
      <c r="F6" s="2">
        <v>3.56</v>
      </c>
      <c r="I6" s="21" t="s">
        <v>23</v>
      </c>
      <c r="J6" t="s">
        <v>25</v>
      </c>
      <c r="K6">
        <v>5</v>
      </c>
      <c r="L6" t="s">
        <v>22</v>
      </c>
      <c r="N6" s="23"/>
    </row>
    <row r="7" spans="1:30" ht="15" thickBot="1" x14ac:dyDescent="0.4">
      <c r="A7" s="9" t="s">
        <v>16</v>
      </c>
      <c r="B7" s="2">
        <f>B6^2</f>
        <v>9.9856000000000016</v>
      </c>
      <c r="C7" s="2">
        <f t="shared" ref="C7:F7" si="1">C6^2</f>
        <v>38.440000000000005</v>
      </c>
      <c r="D7" s="2">
        <f t="shared" si="1"/>
        <v>40.832099999999997</v>
      </c>
      <c r="E7" s="2">
        <f t="shared" si="1"/>
        <v>45.697599999999994</v>
      </c>
      <c r="F7" s="2">
        <f t="shared" si="1"/>
        <v>12.6736</v>
      </c>
      <c r="I7" s="21" t="s">
        <v>72</v>
      </c>
      <c r="K7" s="24">
        <v>4</v>
      </c>
      <c r="L7" t="s">
        <v>22</v>
      </c>
      <c r="M7" s="25" t="s">
        <v>29</v>
      </c>
      <c r="O7" s="21" t="s">
        <v>73</v>
      </c>
      <c r="P7" s="24">
        <v>3</v>
      </c>
      <c r="Q7" t="s">
        <v>22</v>
      </c>
    </row>
    <row r="8" spans="1:30" ht="15" thickBot="1" x14ac:dyDescent="0.4">
      <c r="A8" s="9" t="s">
        <v>9</v>
      </c>
      <c r="B8" s="2">
        <v>0.48</v>
      </c>
      <c r="C8" s="2">
        <v>0.73</v>
      </c>
      <c r="D8" s="2">
        <v>0.8</v>
      </c>
      <c r="E8" s="2">
        <v>1.94</v>
      </c>
      <c r="F8" s="2">
        <v>2.54</v>
      </c>
      <c r="H8" s="11" t="s">
        <v>18</v>
      </c>
    </row>
    <row r="9" spans="1:30" ht="15" thickBot="1" x14ac:dyDescent="0.4">
      <c r="A9" s="9" t="s">
        <v>10</v>
      </c>
      <c r="B9" s="2">
        <v>1.98</v>
      </c>
      <c r="C9" s="2">
        <v>1.42</v>
      </c>
      <c r="D9" s="2">
        <v>2.39</v>
      </c>
      <c r="E9" s="2">
        <v>3.76</v>
      </c>
      <c r="F9" s="2">
        <v>3.98</v>
      </c>
      <c r="H9" s="12">
        <v>1</v>
      </c>
    </row>
    <row r="10" spans="1:30" x14ac:dyDescent="0.35">
      <c r="A10" s="10" t="s">
        <v>17</v>
      </c>
      <c r="B10" s="2">
        <f>B9^2</f>
        <v>3.9203999999999999</v>
      </c>
      <c r="C10" s="2">
        <f t="shared" ref="C10:F10" si="2">C9^2</f>
        <v>2.0164</v>
      </c>
      <c r="D10" s="2">
        <f t="shared" si="2"/>
        <v>5.7121000000000004</v>
      </c>
      <c r="E10" s="2">
        <f t="shared" si="2"/>
        <v>14.137599999999999</v>
      </c>
      <c r="F10" s="2">
        <f t="shared" si="2"/>
        <v>15.840400000000001</v>
      </c>
      <c r="H10" s="7"/>
      <c r="I10" s="21" t="s">
        <v>68</v>
      </c>
      <c r="K10" s="34">
        <f>0.05</f>
        <v>0.05</v>
      </c>
      <c r="L10" t="s">
        <v>54</v>
      </c>
    </row>
    <row r="11" spans="1:30" x14ac:dyDescent="0.35">
      <c r="I11" s="21" t="s">
        <v>69</v>
      </c>
      <c r="K11" s="34">
        <v>0.24</v>
      </c>
      <c r="L11" t="s">
        <v>54</v>
      </c>
    </row>
    <row r="12" spans="1:30" s="17" customFormat="1" x14ac:dyDescent="0.35">
      <c r="A12" s="3"/>
      <c r="I12" s="21" t="s">
        <v>67</v>
      </c>
      <c r="K12" s="46">
        <f>SUM(K10:K11)</f>
        <v>0.28999999999999998</v>
      </c>
      <c r="L12" t="s">
        <v>54</v>
      </c>
    </row>
    <row r="13" spans="1:30" s="31" customFormat="1" x14ac:dyDescent="0.35">
      <c r="A13" s="30" t="s">
        <v>33</v>
      </c>
    </row>
    <row r="14" spans="1:30" s="17" customFormat="1" ht="19" x14ac:dyDescent="0.45">
      <c r="A14" s="3" t="s">
        <v>19</v>
      </c>
      <c r="D14" s="17" t="s">
        <v>26</v>
      </c>
      <c r="I14" s="18" t="s">
        <v>30</v>
      </c>
      <c r="M14" s="17" t="s">
        <v>71</v>
      </c>
      <c r="P14" s="18"/>
      <c r="W14" s="26"/>
      <c r="X14" s="26"/>
      <c r="Y14" s="26"/>
      <c r="Z14" s="26"/>
      <c r="AA14" s="26"/>
      <c r="AB14" s="26"/>
      <c r="AD14" s="24" t="s">
        <v>31</v>
      </c>
    </row>
    <row r="15" spans="1:30" s="17" customFormat="1" ht="29" x14ac:dyDescent="0.35">
      <c r="A15" s="3"/>
      <c r="B15" s="8" t="s">
        <v>0</v>
      </c>
      <c r="C15" s="8" t="s">
        <v>1</v>
      </c>
      <c r="D15" s="8" t="s">
        <v>2</v>
      </c>
      <c r="E15" s="8" t="s">
        <v>3</v>
      </c>
      <c r="F15" s="8" t="s">
        <v>4</v>
      </c>
      <c r="G15" s="19" t="s">
        <v>20</v>
      </c>
      <c r="J15" s="8" t="s">
        <v>0</v>
      </c>
      <c r="K15" s="8" t="s">
        <v>1</v>
      </c>
      <c r="L15" s="8" t="s">
        <v>2</v>
      </c>
      <c r="M15" s="8" t="s">
        <v>3</v>
      </c>
      <c r="N15" s="8" t="s">
        <v>4</v>
      </c>
      <c r="P15" s="26"/>
      <c r="Q15" s="39"/>
      <c r="R15" s="39"/>
      <c r="S15" s="39"/>
      <c r="T15" s="39"/>
      <c r="U15" s="39"/>
      <c r="W15" s="26"/>
      <c r="X15" s="39"/>
      <c r="Y15" s="39"/>
      <c r="Z15" s="39"/>
      <c r="AA15" s="39"/>
      <c r="AB15" s="39"/>
      <c r="AD15" s="24"/>
    </row>
    <row r="16" spans="1:30" s="17" customFormat="1" x14ac:dyDescent="0.35">
      <c r="A16" s="6" t="s">
        <v>12</v>
      </c>
      <c r="B16" s="4">
        <f>_xlfn.NORM.S.INV(0.95)*SQRT(SUM($K$5:$K$6))*B3</f>
        <v>38.07842896325964</v>
      </c>
      <c r="C16" s="4">
        <f>_xlfn.NORM.S.INV(0.95)*SQRT(SUM($K$5:$K$6))*C3</f>
        <v>35.350747805433016</v>
      </c>
      <c r="D16" s="4">
        <f>_xlfn.NORM.S.INV(0.95)*SQRT(SUM($K$5:$K$6))*D3</f>
        <v>28.695205780336057</v>
      </c>
      <c r="E16" s="4">
        <f>_xlfn.NORM.S.INV(0.95)*SQRT(SUM($K$5:$K$6))*E3</f>
        <v>18.984660858473287</v>
      </c>
      <c r="F16" s="4">
        <f>_xlfn.NORM.S.INV(0.95)*SQRT(SUM($K$5:$K$6))*F3</f>
        <v>24.494576797283063</v>
      </c>
      <c r="G16" s="20">
        <f>SUM(B16:F16)</f>
        <v>145.60362020478507</v>
      </c>
      <c r="I16" s="6" t="s">
        <v>12</v>
      </c>
      <c r="J16" s="22">
        <f>((B2*$K$5))/2</f>
        <v>106.44</v>
      </c>
      <c r="K16" s="22">
        <f t="shared" ref="K16:N16" si="3">((C2*$K$5))/2</f>
        <v>67.83</v>
      </c>
      <c r="L16" s="22">
        <f t="shared" si="3"/>
        <v>52.980000000000004</v>
      </c>
      <c r="M16" s="22">
        <f t="shared" si="3"/>
        <v>35.43</v>
      </c>
      <c r="N16" s="22">
        <f t="shared" si="3"/>
        <v>10.08</v>
      </c>
      <c r="P16" s="3"/>
      <c r="Q16" s="58"/>
      <c r="R16" s="26"/>
      <c r="S16" s="26"/>
      <c r="T16" s="26"/>
      <c r="U16" s="26"/>
      <c r="W16" s="3"/>
      <c r="X16" s="26"/>
      <c r="Y16" s="26"/>
      <c r="Z16" s="26"/>
      <c r="AA16" s="26"/>
      <c r="AB16" s="26"/>
      <c r="AD16" s="27">
        <f>X16*0.15</f>
        <v>0</v>
      </c>
    </row>
    <row r="17" spans="1:28" s="17" customFormat="1" x14ac:dyDescent="0.35">
      <c r="A17" s="6" t="s">
        <v>13</v>
      </c>
      <c r="B17" s="4">
        <f>_xlfn.NORM.S.INV(0.95)*SQRT(SUM($K$5:$K$6))*B6</f>
        <v>17.238944917464249</v>
      </c>
      <c r="C17" s="4">
        <f>_xlfn.NORM.S.INV(0.95)*SQRT(SUM($K$5:$K$6))*C6</f>
        <v>33.82324635705011</v>
      </c>
      <c r="D17" s="4">
        <f>_xlfn.NORM.S.INV(0.95)*SQRT(SUM($K$5:$K$6))*D6</f>
        <v>34.859765197024224</v>
      </c>
      <c r="E17" s="4">
        <f>_xlfn.NORM.S.INV(0.95)*SQRT(SUM($K$5:$K$6))*E6</f>
        <v>36.878249253815923</v>
      </c>
      <c r="F17" s="4">
        <f>_xlfn.NORM.S.INV(0.95)*SQRT(SUM($K$5:$K$6))*F6</f>
        <v>19.421089843725547</v>
      </c>
      <c r="G17" s="20">
        <f t="shared" ref="G17:G18" si="4">SUM(B17:F17)</f>
        <v>142.22129556908004</v>
      </c>
      <c r="I17" s="6" t="s">
        <v>13</v>
      </c>
      <c r="J17" s="22">
        <f>(($K$5*B5))/2</f>
        <v>7.4399999999999995</v>
      </c>
      <c r="K17" s="22">
        <f t="shared" ref="K17:N17" si="5">(($K$5*C5))/2</f>
        <v>12.450000000000001</v>
      </c>
      <c r="L17" s="22">
        <f t="shared" si="5"/>
        <v>18.450000000000003</v>
      </c>
      <c r="M17" s="22">
        <f t="shared" si="5"/>
        <v>18.48</v>
      </c>
      <c r="N17" s="22">
        <f t="shared" si="5"/>
        <v>22.47</v>
      </c>
      <c r="P17" s="3"/>
      <c r="Q17" s="26"/>
      <c r="R17" s="26"/>
      <c r="S17" s="26"/>
      <c r="T17" s="26"/>
      <c r="U17" s="26"/>
      <c r="W17" s="3"/>
      <c r="X17" s="26"/>
      <c r="Y17" s="26"/>
      <c r="Z17" s="26"/>
      <c r="AA17" s="26"/>
      <c r="AB17" s="26"/>
    </row>
    <row r="18" spans="1:28" s="17" customFormat="1" x14ac:dyDescent="0.35">
      <c r="A18" s="6" t="s">
        <v>14</v>
      </c>
      <c r="B18" s="4">
        <f>_xlfn.NORM.S.INV(0.95)*SQRT(SUM($K$5:$K$6))*B9</f>
        <v>10.801617384993421</v>
      </c>
      <c r="C18" s="4">
        <f t="shared" ref="C18:F18" si="6">_xlfn.NORM.S.INV(0.95)*SQRT(SUM($K$5:$K$6))*C9</f>
        <v>7.7466144882276051</v>
      </c>
      <c r="D18" s="4">
        <f t="shared" si="6"/>
        <v>13.038315934411251</v>
      </c>
      <c r="E18" s="4">
        <f t="shared" si="6"/>
        <v>20.512162306856194</v>
      </c>
      <c r="F18" s="4">
        <f t="shared" si="6"/>
        <v>21.712342016299907</v>
      </c>
      <c r="G18" s="20">
        <f t="shared" si="4"/>
        <v>73.811052130788369</v>
      </c>
      <c r="I18" s="6" t="s">
        <v>14</v>
      </c>
      <c r="J18" s="22">
        <f>(($K$5*B8))/2</f>
        <v>1.44</v>
      </c>
      <c r="K18" s="22">
        <f t="shared" ref="K18:N18" si="7">(($K$5*C8))/2</f>
        <v>2.19</v>
      </c>
      <c r="L18" s="22">
        <f t="shared" si="7"/>
        <v>2.4000000000000004</v>
      </c>
      <c r="M18" s="22">
        <f t="shared" si="7"/>
        <v>5.82</v>
      </c>
      <c r="N18" s="22">
        <f t="shared" si="7"/>
        <v>7.62</v>
      </c>
      <c r="P18" s="3"/>
      <c r="Q18" s="26"/>
      <c r="R18" s="26"/>
      <c r="S18" s="26"/>
      <c r="T18" s="26"/>
      <c r="U18" s="26"/>
      <c r="W18" s="3"/>
      <c r="X18" s="26"/>
      <c r="Y18" s="26"/>
      <c r="Z18" s="26"/>
      <c r="AA18" s="26"/>
      <c r="AB18" s="26"/>
    </row>
    <row r="19" spans="1:28" s="17" customFormat="1" x14ac:dyDescent="0.35">
      <c r="A19" s="3"/>
      <c r="B19" s="28"/>
      <c r="C19" s="28"/>
      <c r="D19" s="28"/>
      <c r="E19" s="28"/>
      <c r="F19" s="28"/>
      <c r="G19" s="29"/>
      <c r="I19" s="3"/>
      <c r="J19" s="26"/>
      <c r="K19" s="26"/>
      <c r="L19" s="26"/>
      <c r="M19" s="26"/>
      <c r="N19" s="26"/>
      <c r="P19" s="3"/>
      <c r="Q19" s="26"/>
      <c r="R19" s="26"/>
      <c r="S19" s="26"/>
      <c r="T19" s="26"/>
      <c r="U19" s="26"/>
      <c r="W19" s="3"/>
      <c r="X19" s="26"/>
      <c r="Y19" s="26"/>
      <c r="Z19" s="26"/>
      <c r="AA19" s="26"/>
      <c r="AB19" s="26"/>
    </row>
    <row r="20" spans="1:28" s="17" customFormat="1" x14ac:dyDescent="0.35">
      <c r="A20" s="3"/>
      <c r="B20" s="28"/>
      <c r="C20" s="28"/>
      <c r="D20" s="28"/>
      <c r="E20" s="28"/>
      <c r="F20" s="28"/>
      <c r="G20" s="29"/>
      <c r="I20" s="3"/>
      <c r="J20" s="26"/>
      <c r="K20" s="26"/>
      <c r="L20" s="26"/>
      <c r="M20" s="26"/>
      <c r="N20" s="26"/>
      <c r="P20" s="3"/>
      <c r="Q20" s="26"/>
      <c r="R20" s="26"/>
      <c r="S20" s="26"/>
      <c r="T20" s="26"/>
      <c r="U20" s="26"/>
      <c r="W20" s="3"/>
      <c r="X20" s="26"/>
      <c r="Y20" s="26"/>
      <c r="Z20" s="26"/>
      <c r="AA20" s="26"/>
      <c r="AB20" s="26"/>
    </row>
    <row r="21" spans="1:28" s="17" customFormat="1" x14ac:dyDescent="0.35">
      <c r="A21" s="3" t="s">
        <v>46</v>
      </c>
      <c r="D21" s="17" t="s">
        <v>62</v>
      </c>
      <c r="I21" s="18" t="s">
        <v>43</v>
      </c>
      <c r="M21" s="17" t="s">
        <v>45</v>
      </c>
      <c r="P21" s="18" t="s">
        <v>44</v>
      </c>
      <c r="W21" s="3" t="s">
        <v>47</v>
      </c>
      <c r="X21" s="26"/>
      <c r="Y21" s="26"/>
      <c r="Z21" s="26"/>
      <c r="AA21" s="26"/>
      <c r="AB21" s="26"/>
    </row>
    <row r="22" spans="1:28" s="17" customFormat="1" x14ac:dyDescent="0.35">
      <c r="A22" s="3"/>
      <c r="B22" s="8" t="s">
        <v>0</v>
      </c>
      <c r="C22" s="8" t="s">
        <v>1</v>
      </c>
      <c r="D22" s="8" t="s">
        <v>2</v>
      </c>
      <c r="E22" s="8" t="s">
        <v>3</v>
      </c>
      <c r="F22" s="8" t="s">
        <v>4</v>
      </c>
      <c r="G22" s="38"/>
      <c r="J22" s="8" t="s">
        <v>0</v>
      </c>
      <c r="K22" s="8" t="s">
        <v>1</v>
      </c>
      <c r="L22" s="8" t="s">
        <v>2</v>
      </c>
      <c r="M22" s="8" t="s">
        <v>3</v>
      </c>
      <c r="N22" s="8" t="s">
        <v>4</v>
      </c>
      <c r="Q22" s="8" t="s">
        <v>0</v>
      </c>
      <c r="R22" s="8" t="s">
        <v>1</v>
      </c>
      <c r="S22" s="8" t="s">
        <v>2</v>
      </c>
      <c r="T22" s="8" t="s">
        <v>3</v>
      </c>
      <c r="U22" s="8" t="s">
        <v>4</v>
      </c>
      <c r="X22" s="8" t="s">
        <v>0</v>
      </c>
      <c r="Y22" s="8" t="s">
        <v>1</v>
      </c>
      <c r="Z22" s="8" t="s">
        <v>2</v>
      </c>
      <c r="AA22" s="8" t="s">
        <v>3</v>
      </c>
      <c r="AB22" s="8" t="s">
        <v>4</v>
      </c>
    </row>
    <row r="23" spans="1:28" s="17" customFormat="1" x14ac:dyDescent="0.35">
      <c r="A23" s="6" t="s">
        <v>12</v>
      </c>
      <c r="B23" s="36">
        <f>B16*$K$4</f>
        <v>2084.7939857384654</v>
      </c>
      <c r="C23" s="36">
        <f t="shared" ref="C23:F23" si="8">C16*$K$4</f>
        <v>1935.4534423474577</v>
      </c>
      <c r="D23" s="36">
        <f t="shared" si="8"/>
        <v>1571.062516473399</v>
      </c>
      <c r="E23" s="36">
        <f t="shared" si="8"/>
        <v>1039.4101820014125</v>
      </c>
      <c r="F23" s="36">
        <f t="shared" si="8"/>
        <v>1341.0780796512477</v>
      </c>
      <c r="G23" s="37"/>
      <c r="I23" s="6" t="s">
        <v>12</v>
      </c>
      <c r="J23" s="35">
        <f>J16*$K$4</f>
        <v>5827.59</v>
      </c>
      <c r="K23" s="35">
        <f t="shared" ref="K23:N23" si="9">K16*$K$4</f>
        <v>3713.6925000000001</v>
      </c>
      <c r="L23" s="35">
        <f t="shared" si="9"/>
        <v>2900.6550000000002</v>
      </c>
      <c r="M23" s="35">
        <f t="shared" si="9"/>
        <v>1939.7925</v>
      </c>
      <c r="N23" s="35">
        <f t="shared" si="9"/>
        <v>551.88</v>
      </c>
      <c r="P23" s="6" t="s">
        <v>12</v>
      </c>
      <c r="Q23" s="35">
        <f>365*B2*$K$7*($K$4/365)</f>
        <v>7770.119999999999</v>
      </c>
      <c r="R23" s="35">
        <f t="shared" ref="R23:U23" si="10">365*C2*$K$7*($K$4/365)</f>
        <v>4951.5899999999992</v>
      </c>
      <c r="S23" s="35">
        <f t="shared" si="10"/>
        <v>3867.5399999999995</v>
      </c>
      <c r="T23" s="35">
        <f t="shared" si="10"/>
        <v>2586.3900000000003</v>
      </c>
      <c r="U23" s="35">
        <f t="shared" si="10"/>
        <v>735.83999999999992</v>
      </c>
      <c r="W23" s="6" t="s">
        <v>12</v>
      </c>
      <c r="X23" s="35">
        <f>Q23+J23+B23</f>
        <v>15682.503985738465</v>
      </c>
      <c r="Y23" s="35">
        <f t="shared" ref="Y23:AB25" si="11">R23+K23+C23</f>
        <v>10600.735942347457</v>
      </c>
      <c r="Z23" s="35">
        <f t="shared" si="11"/>
        <v>8339.2575164733989</v>
      </c>
      <c r="AA23" s="35">
        <f t="shared" si="11"/>
        <v>5565.5926820014138</v>
      </c>
      <c r="AB23" s="35">
        <f t="shared" si="11"/>
        <v>2628.7980796512475</v>
      </c>
    </row>
    <row r="24" spans="1:28" s="17" customFormat="1" x14ac:dyDescent="0.35">
      <c r="A24" s="6" t="s">
        <v>13</v>
      </c>
      <c r="B24" s="36">
        <f t="shared" ref="B24:F25" si="12">B17*$K$4</f>
        <v>943.8322342311676</v>
      </c>
      <c r="C24" s="36">
        <f t="shared" si="12"/>
        <v>1851.8227380484934</v>
      </c>
      <c r="D24" s="36">
        <f t="shared" si="12"/>
        <v>1908.5721445370762</v>
      </c>
      <c r="E24" s="36">
        <f t="shared" si="12"/>
        <v>2019.0841466464217</v>
      </c>
      <c r="F24" s="36">
        <f t="shared" si="12"/>
        <v>1063.3046689439736</v>
      </c>
      <c r="G24" s="37"/>
      <c r="I24" s="6" t="s">
        <v>13</v>
      </c>
      <c r="J24" s="35">
        <f t="shared" ref="J24:N25" si="13">J17*$K$4</f>
        <v>407.34</v>
      </c>
      <c r="K24" s="35">
        <f t="shared" si="13"/>
        <v>681.63750000000005</v>
      </c>
      <c r="L24" s="35">
        <f t="shared" si="13"/>
        <v>1010.1375000000002</v>
      </c>
      <c r="M24" s="35">
        <f t="shared" si="13"/>
        <v>1011.78</v>
      </c>
      <c r="N24" s="35">
        <f t="shared" si="13"/>
        <v>1230.2324999999998</v>
      </c>
      <c r="P24" s="6" t="s">
        <v>13</v>
      </c>
      <c r="Q24" s="35">
        <f>365*B5*$K$7*($K$4/365)</f>
        <v>543.12</v>
      </c>
      <c r="R24" s="35">
        <f t="shared" ref="R24:U24" si="14">365*C5*$K$7*($K$4/365)</f>
        <v>908.85000000000014</v>
      </c>
      <c r="S24" s="35">
        <f t="shared" si="14"/>
        <v>1346.85</v>
      </c>
      <c r="T24" s="35">
        <f t="shared" si="14"/>
        <v>1349.04</v>
      </c>
      <c r="U24" s="35">
        <f t="shared" si="14"/>
        <v>1640.31</v>
      </c>
      <c r="W24" s="6" t="s">
        <v>13</v>
      </c>
      <c r="X24" s="35">
        <f t="shared" ref="X24:X25" si="15">Q24+J24+B24</f>
        <v>1894.2922342311676</v>
      </c>
      <c r="Y24" s="35">
        <f t="shared" si="11"/>
        <v>3442.3102380484934</v>
      </c>
      <c r="Z24" s="35">
        <f t="shared" si="11"/>
        <v>4265.5596445370766</v>
      </c>
      <c r="AA24" s="35">
        <f t="shared" si="11"/>
        <v>4379.9041466464214</v>
      </c>
      <c r="AB24" s="35">
        <f t="shared" si="11"/>
        <v>3933.847168943973</v>
      </c>
    </row>
    <row r="25" spans="1:28" s="17" customFormat="1" x14ac:dyDescent="0.35">
      <c r="A25" s="6" t="s">
        <v>14</v>
      </c>
      <c r="B25" s="36">
        <f t="shared" si="12"/>
        <v>591.38855182838972</v>
      </c>
      <c r="C25" s="36">
        <f t="shared" si="12"/>
        <v>424.1271432304614</v>
      </c>
      <c r="D25" s="36">
        <f t="shared" si="12"/>
        <v>713.84779740901604</v>
      </c>
      <c r="E25" s="36">
        <f t="shared" si="12"/>
        <v>1123.0408863003765</v>
      </c>
      <c r="F25" s="36">
        <f t="shared" si="12"/>
        <v>1188.75072539242</v>
      </c>
      <c r="G25" s="37"/>
      <c r="I25" s="6" t="s">
        <v>14</v>
      </c>
      <c r="J25" s="35">
        <f t="shared" si="13"/>
        <v>78.84</v>
      </c>
      <c r="K25" s="35">
        <f t="shared" si="13"/>
        <v>119.9025</v>
      </c>
      <c r="L25" s="35">
        <f t="shared" si="13"/>
        <v>131.4</v>
      </c>
      <c r="M25" s="35">
        <f t="shared" si="13"/>
        <v>318.64500000000004</v>
      </c>
      <c r="N25" s="35">
        <f t="shared" si="13"/>
        <v>417.19499999999999</v>
      </c>
      <c r="P25" s="6" t="s">
        <v>14</v>
      </c>
      <c r="Q25" s="35">
        <f>365*B8*$K$7*($K$4/365)</f>
        <v>105.11999999999999</v>
      </c>
      <c r="R25" s="35">
        <f t="shared" ref="R25:U25" si="16">365*C8*$K$7*($K$4/365)</f>
        <v>159.86999999999998</v>
      </c>
      <c r="S25" s="35">
        <f t="shared" si="16"/>
        <v>175.2</v>
      </c>
      <c r="T25" s="35">
        <f t="shared" si="16"/>
        <v>424.86</v>
      </c>
      <c r="U25" s="35">
        <f t="shared" si="16"/>
        <v>556.26</v>
      </c>
      <c r="W25" s="6" t="s">
        <v>14</v>
      </c>
      <c r="X25" s="35">
        <f t="shared" si="15"/>
        <v>775.34855182838965</v>
      </c>
      <c r="Y25" s="35">
        <f t="shared" si="11"/>
        <v>703.89964323046138</v>
      </c>
      <c r="Z25" s="35">
        <f t="shared" si="11"/>
        <v>1020.4477974090161</v>
      </c>
      <c r="AA25" s="35">
        <f t="shared" si="11"/>
        <v>1866.5458863003767</v>
      </c>
      <c r="AB25" s="35">
        <f t="shared" si="11"/>
        <v>2162.2057253924199</v>
      </c>
    </row>
    <row r="26" spans="1:28" s="17" customFormat="1" x14ac:dyDescent="0.35">
      <c r="A26" s="3"/>
      <c r="B26" s="28"/>
      <c r="C26" s="28"/>
      <c r="D26" s="28"/>
      <c r="E26" s="28"/>
      <c r="F26" s="28"/>
      <c r="G26" s="29"/>
      <c r="I26" s="3"/>
      <c r="J26" s="26"/>
      <c r="K26" s="26"/>
      <c r="L26" s="26"/>
      <c r="M26" s="26"/>
      <c r="N26" s="26"/>
      <c r="P26" s="3"/>
      <c r="Q26" s="26"/>
      <c r="R26" s="26"/>
      <c r="S26" s="26"/>
      <c r="T26" s="26"/>
      <c r="U26" s="26"/>
      <c r="W26" s="3"/>
      <c r="X26" s="26"/>
      <c r="Y26" s="26"/>
      <c r="Z26" s="26"/>
      <c r="AA26" s="26"/>
      <c r="AB26" s="26"/>
    </row>
    <row r="27" spans="1:28" s="31" customFormat="1" x14ac:dyDescent="0.35">
      <c r="A27" s="30" t="s">
        <v>34</v>
      </c>
    </row>
    <row r="28" spans="1:28" s="17" customFormat="1" x14ac:dyDescent="0.35">
      <c r="A28" s="3" t="s">
        <v>35</v>
      </c>
      <c r="B28" s="28"/>
      <c r="C28" s="28"/>
      <c r="D28" s="28"/>
      <c r="E28" s="28" t="s">
        <v>55</v>
      </c>
      <c r="G28" s="29"/>
      <c r="I28" s="3" t="s">
        <v>56</v>
      </c>
      <c r="J28" s="26"/>
      <c r="K28" s="26"/>
      <c r="L28" s="26"/>
      <c r="M28" s="26"/>
      <c r="N28" s="26"/>
      <c r="P28" s="3"/>
      <c r="Q28" s="26"/>
      <c r="R28" s="26"/>
      <c r="S28" s="26"/>
      <c r="T28" s="26"/>
      <c r="U28" s="26"/>
      <c r="W28" s="3"/>
      <c r="X28" s="26"/>
      <c r="Y28" s="26"/>
      <c r="Z28" s="26"/>
      <c r="AA28" s="26"/>
      <c r="AB28" s="26"/>
    </row>
    <row r="29" spans="1:28" s="17" customFormat="1" x14ac:dyDescent="0.35">
      <c r="A29" s="3"/>
      <c r="B29" s="8" t="s">
        <v>0</v>
      </c>
      <c r="C29" s="8" t="s">
        <v>1</v>
      </c>
      <c r="D29" s="8" t="s">
        <v>2</v>
      </c>
      <c r="E29" s="8" t="s">
        <v>3</v>
      </c>
      <c r="F29" s="8" t="s">
        <v>4</v>
      </c>
      <c r="G29" s="29"/>
      <c r="I29" s="3"/>
      <c r="J29" s="8" t="s">
        <v>0</v>
      </c>
      <c r="K29" s="8" t="s">
        <v>1</v>
      </c>
      <c r="L29" s="8" t="s">
        <v>2</v>
      </c>
      <c r="M29" s="8" t="s">
        <v>3</v>
      </c>
      <c r="N29" s="8" t="s">
        <v>4</v>
      </c>
      <c r="O29" s="15" t="s">
        <v>57</v>
      </c>
      <c r="P29" s="3"/>
      <c r="Q29" s="26"/>
      <c r="R29" s="26"/>
      <c r="S29" s="26"/>
      <c r="T29" s="26"/>
      <c r="U29" s="26"/>
      <c r="W29" s="3"/>
      <c r="X29" s="26"/>
      <c r="Y29" s="26"/>
      <c r="Z29" s="26"/>
      <c r="AA29" s="26"/>
      <c r="AB29" s="26"/>
    </row>
    <row r="30" spans="1:28" s="17" customFormat="1" x14ac:dyDescent="0.35">
      <c r="A30" s="6" t="s">
        <v>12</v>
      </c>
      <c r="B30" s="36">
        <f>B2*365*$K$3</f>
        <v>2460.538</v>
      </c>
      <c r="C30" s="36">
        <f t="shared" ref="C30:F30" si="17">C2*365*$K$3</f>
        <v>1568.0035</v>
      </c>
      <c r="D30" s="36">
        <f t="shared" si="17"/>
        <v>1224.721</v>
      </c>
      <c r="E30" s="36">
        <f t="shared" si="17"/>
        <v>819.02350000000013</v>
      </c>
      <c r="F30" s="36">
        <f t="shared" si="17"/>
        <v>233.01599999999996</v>
      </c>
      <c r="G30" s="29"/>
      <c r="I30" s="6" t="s">
        <v>12</v>
      </c>
      <c r="J30" s="36">
        <f>X23+B30</f>
        <v>18143.041985738466</v>
      </c>
      <c r="K30" s="36">
        <f t="shared" ref="K30:N32" si="18">Y23+C30</f>
        <v>12168.739442347458</v>
      </c>
      <c r="L30" s="36">
        <f t="shared" si="18"/>
        <v>9563.9785164733985</v>
      </c>
      <c r="M30" s="36">
        <f t="shared" si="18"/>
        <v>6384.616182001414</v>
      </c>
      <c r="N30" s="36">
        <f t="shared" si="18"/>
        <v>2861.8140796512475</v>
      </c>
      <c r="O30" s="35">
        <f>SUM(J30:N30)*O1</f>
        <v>491221.90206211986</v>
      </c>
      <c r="P30" s="3"/>
      <c r="Q30" s="26"/>
      <c r="R30" s="26"/>
      <c r="S30" s="26"/>
      <c r="T30" s="26"/>
      <c r="U30" s="26"/>
      <c r="W30" s="3"/>
      <c r="X30" s="26"/>
      <c r="Y30" s="26"/>
      <c r="Z30" s="26"/>
      <c r="AA30" s="26"/>
      <c r="AB30" s="26"/>
    </row>
    <row r="31" spans="1:28" s="17" customFormat="1" x14ac:dyDescent="0.35">
      <c r="A31" s="6" t="s">
        <v>13</v>
      </c>
      <c r="B31" s="36">
        <f>B5*365*$K$3</f>
        <v>171.988</v>
      </c>
      <c r="C31" s="36">
        <f t="shared" ref="C31:F31" si="19">C5*365*$K$3</f>
        <v>287.80250000000007</v>
      </c>
      <c r="D31" s="36">
        <f t="shared" si="19"/>
        <v>426.5025</v>
      </c>
      <c r="E31" s="36">
        <f t="shared" si="19"/>
        <v>427.19600000000003</v>
      </c>
      <c r="F31" s="36">
        <f t="shared" si="19"/>
        <v>519.43150000000003</v>
      </c>
      <c r="G31" s="29"/>
      <c r="I31" s="6" t="s">
        <v>13</v>
      </c>
      <c r="J31" s="36">
        <f t="shared" ref="J31" si="20">X24+B31</f>
        <v>2066.2802342311675</v>
      </c>
      <c r="K31" s="36">
        <f t="shared" si="18"/>
        <v>3730.1127380484936</v>
      </c>
      <c r="L31" s="36">
        <f t="shared" si="18"/>
        <v>4692.0621445370762</v>
      </c>
      <c r="M31" s="36">
        <f t="shared" si="18"/>
        <v>4807.1001466464213</v>
      </c>
      <c r="N31" s="36">
        <f t="shared" si="18"/>
        <v>4453.2786689439727</v>
      </c>
      <c r="O31" s="35">
        <f t="shared" ref="O31:O32" si="21">SUM(J31:N31)*O2</f>
        <v>394976.67864814273</v>
      </c>
      <c r="P31" s="3"/>
      <c r="Q31" s="26"/>
      <c r="R31" s="26"/>
      <c r="S31" s="26"/>
      <c r="T31" s="26"/>
      <c r="U31" s="26"/>
      <c r="W31" s="3"/>
      <c r="X31" s="26"/>
      <c r="Y31" s="26"/>
      <c r="Z31" s="26"/>
      <c r="AA31" s="26"/>
      <c r="AB31" s="26"/>
    </row>
    <row r="32" spans="1:28" s="17" customFormat="1" x14ac:dyDescent="0.35">
      <c r="A32" s="6" t="s">
        <v>14</v>
      </c>
      <c r="B32" s="36">
        <f>B8*365*$K$3</f>
        <v>33.287999999999997</v>
      </c>
      <c r="C32" s="36">
        <f t="shared" ref="C32:E32" si="22">C8*365*$K$3</f>
        <v>50.625499999999995</v>
      </c>
      <c r="D32" s="36">
        <f t="shared" si="22"/>
        <v>55.480000000000004</v>
      </c>
      <c r="E32" s="36">
        <f t="shared" si="22"/>
        <v>134.53900000000002</v>
      </c>
      <c r="F32" s="36">
        <f>F8*365*$K$3</f>
        <v>176.149</v>
      </c>
      <c r="G32" s="29"/>
      <c r="I32" s="6" t="s">
        <v>14</v>
      </c>
      <c r="J32" s="36">
        <f>X25+B32</f>
        <v>808.63655182838966</v>
      </c>
      <c r="K32" s="36">
        <f t="shared" si="18"/>
        <v>754.52514323046137</v>
      </c>
      <c r="L32" s="36">
        <f t="shared" si="18"/>
        <v>1075.927797409016</v>
      </c>
      <c r="M32" s="36">
        <f t="shared" si="18"/>
        <v>2001.0848863003766</v>
      </c>
      <c r="N32" s="36">
        <f t="shared" si="18"/>
        <v>2338.3547253924198</v>
      </c>
      <c r="O32" s="35">
        <f t="shared" si="21"/>
        <v>488497.03729124641</v>
      </c>
      <c r="P32" s="3"/>
      <c r="Q32" s="26"/>
      <c r="R32" s="26"/>
      <c r="S32" s="26"/>
      <c r="T32" s="26"/>
      <c r="U32" s="26"/>
      <c r="W32" s="3"/>
      <c r="X32" s="26"/>
      <c r="Y32" s="26"/>
      <c r="Z32" s="26"/>
      <c r="AA32" s="26"/>
      <c r="AB32" s="26"/>
    </row>
    <row r="33" spans="1:28" s="17" customFormat="1" x14ac:dyDescent="0.35">
      <c r="A33" s="3"/>
      <c r="B33" s="28"/>
      <c r="C33" s="28"/>
      <c r="D33" s="28"/>
      <c r="E33" s="28"/>
      <c r="F33" s="28"/>
      <c r="G33" s="29"/>
      <c r="I33" s="3"/>
      <c r="J33" s="26"/>
      <c r="K33" s="26"/>
      <c r="L33" s="26"/>
      <c r="M33" s="26"/>
      <c r="N33" s="44" t="s">
        <v>61</v>
      </c>
      <c r="O33" s="54">
        <f>SUM(O30:O32)</f>
        <v>1374695.618001509</v>
      </c>
      <c r="P33" s="3"/>
      <c r="Q33" s="26"/>
      <c r="R33" s="26"/>
      <c r="S33" s="26"/>
      <c r="T33" s="26"/>
      <c r="U33" s="26"/>
      <c r="W33" s="3"/>
      <c r="X33" s="26"/>
      <c r="Y33" s="26"/>
      <c r="Z33" s="26"/>
      <c r="AA33" s="26"/>
      <c r="AB33" s="26"/>
    </row>
    <row r="34" spans="1:28" s="17" customFormat="1" x14ac:dyDescent="0.35">
      <c r="A34" s="3"/>
      <c r="B34" s="28"/>
      <c r="C34" s="28"/>
      <c r="D34" s="28"/>
      <c r="E34" s="28"/>
      <c r="F34" s="28"/>
      <c r="G34" s="29"/>
      <c r="I34" s="3"/>
      <c r="J34" s="26"/>
      <c r="K34" s="26"/>
      <c r="L34" s="26"/>
      <c r="M34" s="26"/>
      <c r="N34" s="26"/>
      <c r="P34" s="3"/>
      <c r="Q34" s="26"/>
      <c r="R34" s="26"/>
      <c r="S34" s="26"/>
      <c r="T34" s="26"/>
      <c r="U34" s="26"/>
      <c r="W34" s="3"/>
      <c r="X34" s="26"/>
      <c r="Y34" s="26"/>
      <c r="Z34" s="26"/>
      <c r="AA34" s="26"/>
      <c r="AB34" s="26"/>
    </row>
    <row r="35" spans="1:28" s="17" customFormat="1" x14ac:dyDescent="0.35">
      <c r="A35" s="3"/>
    </row>
    <row r="36" spans="1:28" s="33" customFormat="1" x14ac:dyDescent="0.35">
      <c r="A36" s="32" t="s">
        <v>32</v>
      </c>
    </row>
    <row r="37" spans="1:28" s="17" customFormat="1" x14ac:dyDescent="0.35">
      <c r="A37" s="3"/>
    </row>
    <row r="38" spans="1:28" ht="21" x14ac:dyDescent="0.55000000000000004">
      <c r="A38" s="3" t="s">
        <v>27</v>
      </c>
      <c r="B38" t="s">
        <v>28</v>
      </c>
    </row>
    <row r="39" spans="1:28" x14ac:dyDescent="0.35">
      <c r="A39" s="13" t="s">
        <v>12</v>
      </c>
      <c r="B39" s="8" t="s">
        <v>0</v>
      </c>
      <c r="C39" s="8" t="s">
        <v>1</v>
      </c>
      <c r="D39" s="8" t="s">
        <v>2</v>
      </c>
      <c r="E39" s="8" t="s">
        <v>3</v>
      </c>
      <c r="F39" s="8" t="s">
        <v>4</v>
      </c>
      <c r="H39" s="14" t="s">
        <v>13</v>
      </c>
      <c r="I39" s="8" t="s">
        <v>0</v>
      </c>
      <c r="J39" s="8" t="s">
        <v>1</v>
      </c>
      <c r="K39" s="8" t="s">
        <v>2</v>
      </c>
      <c r="L39" s="8" t="s">
        <v>3</v>
      </c>
      <c r="M39" s="8" t="s">
        <v>4</v>
      </c>
      <c r="O39" s="14" t="s">
        <v>14</v>
      </c>
      <c r="P39" s="8" t="s">
        <v>0</v>
      </c>
      <c r="Q39" s="8" t="s">
        <v>1</v>
      </c>
      <c r="R39" s="8" t="s">
        <v>2</v>
      </c>
      <c r="S39" s="8" t="s">
        <v>3</v>
      </c>
      <c r="T39" s="8" t="s">
        <v>4</v>
      </c>
    </row>
    <row r="40" spans="1:28" x14ac:dyDescent="0.35">
      <c r="A40" s="5" t="s">
        <v>0</v>
      </c>
      <c r="B40" s="4"/>
      <c r="C40" s="4">
        <f>$H$9*$B$3*C3</f>
        <v>45.230400000000003</v>
      </c>
      <c r="D40" s="4">
        <f>$H$9*$B$3*D3</f>
        <v>36.714800000000004</v>
      </c>
      <c r="E40" s="4">
        <f>$H$9*$B$3*E3</f>
        <v>24.290400000000002</v>
      </c>
      <c r="F40" s="4">
        <f>$H$9*$B$3*F3</f>
        <v>31.340200000000003</v>
      </c>
      <c r="H40" s="5" t="s">
        <v>0</v>
      </c>
      <c r="I40" s="4"/>
      <c r="J40" s="4">
        <v>0</v>
      </c>
      <c r="K40" s="4">
        <v>0</v>
      </c>
      <c r="L40" s="4">
        <v>0</v>
      </c>
      <c r="M40" s="4">
        <v>0</v>
      </c>
      <c r="O40" s="5" t="s">
        <v>0</v>
      </c>
      <c r="P40" s="4"/>
      <c r="Q40" s="4">
        <v>0</v>
      </c>
      <c r="R40" s="4">
        <v>0</v>
      </c>
      <c r="S40" s="4">
        <v>0</v>
      </c>
      <c r="T40" s="4">
        <v>0</v>
      </c>
    </row>
    <row r="41" spans="1:28" x14ac:dyDescent="0.35">
      <c r="A41" s="5" t="s">
        <v>1</v>
      </c>
      <c r="B41" s="4"/>
      <c r="C41" s="4"/>
      <c r="D41" s="4">
        <f>$H$9*$C$3*D3</f>
        <v>34.084800000000001</v>
      </c>
      <c r="E41" s="4">
        <f t="shared" ref="E41:F41" si="23">$H$9*$C$3*E3</f>
        <v>22.5504</v>
      </c>
      <c r="F41" s="4">
        <f t="shared" si="23"/>
        <v>29.095200000000002</v>
      </c>
      <c r="H41" s="5" t="s">
        <v>1</v>
      </c>
      <c r="I41" s="4"/>
      <c r="J41" s="4">
        <v>0</v>
      </c>
      <c r="K41" s="4">
        <v>0</v>
      </c>
      <c r="L41" s="4">
        <v>0</v>
      </c>
      <c r="M41" s="4">
        <v>0</v>
      </c>
      <c r="O41" s="5" t="s">
        <v>1</v>
      </c>
      <c r="P41" s="4"/>
      <c r="Q41" s="4">
        <v>0</v>
      </c>
      <c r="R41" s="4">
        <v>0</v>
      </c>
      <c r="S41" s="4">
        <v>0</v>
      </c>
      <c r="T41" s="4">
        <v>0</v>
      </c>
    </row>
    <row r="42" spans="1:28" x14ac:dyDescent="0.35">
      <c r="A42" s="5" t="s">
        <v>2</v>
      </c>
      <c r="B42" s="4"/>
      <c r="C42" s="4"/>
      <c r="D42" s="4"/>
      <c r="E42" s="4">
        <f>$H$9*$D$3*E3</f>
        <v>18.3048</v>
      </c>
      <c r="F42" s="4">
        <f>$H$9*$D$3*F3</f>
        <v>23.6174</v>
      </c>
      <c r="H42" s="5" t="s">
        <v>2</v>
      </c>
      <c r="I42" s="4"/>
      <c r="J42" s="4">
        <v>0</v>
      </c>
      <c r="K42" s="4">
        <v>0</v>
      </c>
      <c r="L42" s="4">
        <v>0</v>
      </c>
      <c r="M42" s="4">
        <v>0</v>
      </c>
      <c r="O42" s="5" t="s">
        <v>2</v>
      </c>
      <c r="P42" s="4"/>
      <c r="Q42" s="4">
        <v>0</v>
      </c>
      <c r="R42" s="4">
        <v>0</v>
      </c>
      <c r="S42" s="4">
        <v>0</v>
      </c>
      <c r="T42" s="4">
        <v>0</v>
      </c>
    </row>
    <row r="43" spans="1:28" x14ac:dyDescent="0.35">
      <c r="A43" s="5" t="s">
        <v>3</v>
      </c>
      <c r="B43" s="4"/>
      <c r="C43" s="4"/>
      <c r="D43" s="4"/>
      <c r="E43" s="4"/>
      <c r="F43" s="4">
        <f>$H$9*E3*F3</f>
        <v>15.625200000000001</v>
      </c>
      <c r="H43" s="5" t="s">
        <v>3</v>
      </c>
      <c r="I43" s="4"/>
      <c r="J43" s="4">
        <v>0</v>
      </c>
      <c r="K43" s="4">
        <v>0</v>
      </c>
      <c r="L43" s="4">
        <v>0</v>
      </c>
      <c r="M43" s="4">
        <v>0</v>
      </c>
      <c r="O43" s="5" t="s">
        <v>3</v>
      </c>
      <c r="P43" s="4"/>
      <c r="Q43" s="4">
        <v>0</v>
      </c>
      <c r="R43" s="4">
        <v>0</v>
      </c>
      <c r="S43" s="4">
        <v>0</v>
      </c>
      <c r="T43" s="4">
        <v>0</v>
      </c>
    </row>
    <row r="44" spans="1:28" x14ac:dyDescent="0.35">
      <c r="A44" s="5" t="s">
        <v>4</v>
      </c>
      <c r="B44" s="4"/>
      <c r="C44" s="4"/>
      <c r="D44" s="4"/>
      <c r="E44" s="4"/>
      <c r="F44" s="4"/>
      <c r="H44" s="5" t="s">
        <v>4</v>
      </c>
      <c r="I44" s="4"/>
      <c r="J44" s="4"/>
      <c r="K44" s="4"/>
      <c r="L44" s="4"/>
      <c r="M44" s="4"/>
      <c r="O44" s="5" t="s">
        <v>4</v>
      </c>
      <c r="P44" s="4"/>
      <c r="Q44" s="4"/>
      <c r="R44" s="4"/>
      <c r="S44" s="4"/>
      <c r="T44" s="4"/>
    </row>
    <row r="46" spans="1:28" x14ac:dyDescent="0.35">
      <c r="A46" s="8" t="s">
        <v>11</v>
      </c>
      <c r="B46" s="15" t="s">
        <v>70</v>
      </c>
      <c r="C46" s="15" t="s">
        <v>63</v>
      </c>
    </row>
    <row r="47" spans="1:28" x14ac:dyDescent="0.35">
      <c r="A47" s="15" t="s">
        <v>12</v>
      </c>
      <c r="B47" s="4">
        <f>SQRT(SUM(B4:F4)+(2*SUM(B40:F44)))</f>
        <v>26.69</v>
      </c>
      <c r="C47" s="4">
        <f>SUM(B2:F2)</f>
        <v>90.92</v>
      </c>
    </row>
    <row r="48" spans="1:28" x14ac:dyDescent="0.35">
      <c r="A48" s="16" t="s">
        <v>13</v>
      </c>
      <c r="B48" s="4">
        <v>0</v>
      </c>
      <c r="C48" s="4">
        <v>0</v>
      </c>
    </row>
    <row r="49" spans="1:10" x14ac:dyDescent="0.35">
      <c r="A49" s="16" t="s">
        <v>14</v>
      </c>
      <c r="B49" s="4">
        <v>0</v>
      </c>
      <c r="C49" s="4">
        <v>0</v>
      </c>
    </row>
    <row r="51" spans="1:10" ht="19" x14ac:dyDescent="0.45">
      <c r="A51" s="3" t="s">
        <v>19</v>
      </c>
      <c r="B51" s="17"/>
      <c r="C51" s="17" t="s">
        <v>26</v>
      </c>
      <c r="D51" s="18" t="s">
        <v>30</v>
      </c>
      <c r="E51" s="17"/>
      <c r="F51" s="17" t="s">
        <v>39</v>
      </c>
      <c r="G51" s="17"/>
      <c r="H51" s="18" t="s">
        <v>86</v>
      </c>
      <c r="I51" s="17"/>
      <c r="J51" s="17" t="s">
        <v>42</v>
      </c>
    </row>
    <row r="52" spans="1:10" ht="43.5" x14ac:dyDescent="0.35">
      <c r="A52" s="3"/>
      <c r="B52" s="8" t="s">
        <v>64</v>
      </c>
      <c r="D52" s="17"/>
      <c r="E52" s="8" t="s">
        <v>65</v>
      </c>
      <c r="H52" s="8" t="s">
        <v>75</v>
      </c>
      <c r="I52" s="8" t="s">
        <v>87</v>
      </c>
    </row>
    <row r="53" spans="1:10" x14ac:dyDescent="0.35">
      <c r="A53" s="6" t="s">
        <v>12</v>
      </c>
      <c r="B53" s="4">
        <f>_xlfn.NORM.S.INV(0.95)*SQRT(SUM($K$5:$K$6))*B47</f>
        <v>145.60362020478507</v>
      </c>
      <c r="D53" s="6" t="s">
        <v>12</v>
      </c>
      <c r="E53" s="22">
        <f>((C47*$K$5))/2</f>
        <v>272.76</v>
      </c>
      <c r="H53" s="6" t="s">
        <v>12</v>
      </c>
      <c r="I53" s="35">
        <f>365*C47*$P$7*($K$4/365)</f>
        <v>14933.61</v>
      </c>
    </row>
    <row r="54" spans="1:10" x14ac:dyDescent="0.35">
      <c r="A54" s="6" t="s">
        <v>13</v>
      </c>
      <c r="B54" s="4">
        <f t="shared" ref="B54:B55" si="24">_xlfn.NORM.S.INV(0.95)*SQRT(SUM($K$5:$K$6))*B48</f>
        <v>0</v>
      </c>
      <c r="D54" s="6" t="s">
        <v>13</v>
      </c>
      <c r="E54" s="22">
        <f>(($K$5*C48))/2</f>
        <v>0</v>
      </c>
      <c r="H54" s="6" t="s">
        <v>13</v>
      </c>
      <c r="I54" s="35">
        <f t="shared" ref="I54:I55" si="25">365*C48*$P$7*($K$4/365)</f>
        <v>0</v>
      </c>
    </row>
    <row r="55" spans="1:10" x14ac:dyDescent="0.35">
      <c r="A55" s="6" t="s">
        <v>14</v>
      </c>
      <c r="B55" s="4">
        <f t="shared" si="24"/>
        <v>0</v>
      </c>
      <c r="D55" s="6" t="s">
        <v>14</v>
      </c>
      <c r="E55" s="22">
        <f>(($K$5*C49))/2</f>
        <v>0</v>
      </c>
      <c r="H55" s="6" t="s">
        <v>14</v>
      </c>
      <c r="I55" s="35">
        <f t="shared" si="25"/>
        <v>0</v>
      </c>
    </row>
    <row r="56" spans="1:10" x14ac:dyDescent="0.35">
      <c r="D56" s="3"/>
      <c r="E56" s="26"/>
      <c r="F56" s="26"/>
      <c r="G56" s="26"/>
      <c r="H56" s="26"/>
      <c r="I56" s="26"/>
    </row>
    <row r="57" spans="1:10" x14ac:dyDescent="0.35">
      <c r="A57" s="13" t="s">
        <v>76</v>
      </c>
      <c r="B57" s="13" t="s">
        <v>51</v>
      </c>
      <c r="D57" s="3"/>
      <c r="E57" s="45" t="s">
        <v>76</v>
      </c>
      <c r="F57" s="47" t="s">
        <v>47</v>
      </c>
      <c r="G57" s="26"/>
      <c r="H57" s="47" t="s">
        <v>77</v>
      </c>
      <c r="I57" s="26"/>
    </row>
    <row r="58" spans="1:10" x14ac:dyDescent="0.35">
      <c r="A58" s="6" t="s">
        <v>12</v>
      </c>
      <c r="B58" s="36">
        <f>C47*365*$K$12</f>
        <v>9623.8819999999996</v>
      </c>
      <c r="E58" s="6" t="s">
        <v>12</v>
      </c>
      <c r="F58" s="36">
        <f>(SUM(B53,E53)*$K$4) + I53</f>
        <v>37839.018206211986</v>
      </c>
      <c r="H58" s="36">
        <f>SUM(B58,F58)*O1</f>
        <v>474629.00206211983</v>
      </c>
    </row>
    <row r="59" spans="1:10" x14ac:dyDescent="0.35">
      <c r="A59" s="6" t="s">
        <v>13</v>
      </c>
      <c r="B59" s="36">
        <f>SUM(B31:F31)</f>
        <v>1832.9205000000002</v>
      </c>
      <c r="E59" s="6" t="s">
        <v>13</v>
      </c>
      <c r="F59" s="36">
        <f>SUM(X24:AB24)</f>
        <v>17915.913432407131</v>
      </c>
      <c r="H59" s="36">
        <f t="shared" ref="H59" si="26">SUM(B59,F59)*O2</f>
        <v>394976.67864814261</v>
      </c>
    </row>
    <row r="60" spans="1:10" x14ac:dyDescent="0.35">
      <c r="A60" s="6" t="s">
        <v>14</v>
      </c>
      <c r="B60" s="36">
        <f>SUM(B32:F32)</f>
        <v>450.08150000000001</v>
      </c>
      <c r="E60" s="6" t="s">
        <v>14</v>
      </c>
      <c r="F60" s="36">
        <f>SUM(X25:AB25)</f>
        <v>6528.4476041606631</v>
      </c>
      <c r="H60" s="36">
        <f>SUM(B60,F60)*O3</f>
        <v>488497.03729124641</v>
      </c>
    </row>
    <row r="61" spans="1:10" x14ac:dyDescent="0.35">
      <c r="G61" s="21" t="s">
        <v>66</v>
      </c>
      <c r="H61" s="54">
        <f>SUM(H58:H60)</f>
        <v>1358102.7180015089</v>
      </c>
    </row>
    <row r="62" spans="1:10" ht="15" customHeight="1" x14ac:dyDescent="0.35">
      <c r="G62" s="21"/>
      <c r="H62" s="53"/>
    </row>
    <row r="63" spans="1:10" x14ac:dyDescent="0.35">
      <c r="G63" s="21"/>
      <c r="H63" s="53"/>
    </row>
    <row r="64" spans="1:10" x14ac:dyDescent="0.35">
      <c r="A64" s="13" t="s">
        <v>78</v>
      </c>
      <c r="B64" s="45" t="s">
        <v>79</v>
      </c>
      <c r="H64" s="34"/>
    </row>
    <row r="65" spans="1:5" x14ac:dyDescent="0.35">
      <c r="A65">
        <f>C47*365*O1</f>
        <v>331858</v>
      </c>
    </row>
    <row r="66" spans="1:5" x14ac:dyDescent="0.35">
      <c r="A66">
        <f t="shared" ref="A66:A67" si="27">C48*365*O2</f>
        <v>0</v>
      </c>
    </row>
    <row r="67" spans="1:5" x14ac:dyDescent="0.35">
      <c r="A67">
        <f t="shared" si="27"/>
        <v>0</v>
      </c>
    </row>
    <row r="68" spans="1:5" x14ac:dyDescent="0.35">
      <c r="A68" s="48">
        <f>SUM(A65:A67)</f>
        <v>331858</v>
      </c>
      <c r="E68" s="40"/>
    </row>
    <row r="69" spans="1:5" x14ac:dyDescent="0.35">
      <c r="A69" s="4">
        <f>A68/1000</f>
        <v>331.858</v>
      </c>
      <c r="B69" s="49">
        <f xml:space="preserve"> -0.0009*(A69^3) + 0.3998*(A69^2) + 2000.5*(A69) + 396.83</f>
        <v>675415.93652833451</v>
      </c>
    </row>
    <row r="71" spans="1:5" x14ac:dyDescent="0.35">
      <c r="A71" s="40" t="s">
        <v>80</v>
      </c>
      <c r="D71" s="40"/>
    </row>
    <row r="72" spans="1:5" x14ac:dyDescent="0.35">
      <c r="A72" s="48" t="s">
        <v>81</v>
      </c>
      <c r="B72" s="48" t="s">
        <v>84</v>
      </c>
      <c r="D72" s="48" t="s">
        <v>88</v>
      </c>
      <c r="E72" s="40"/>
    </row>
    <row r="73" spans="1:5" x14ac:dyDescent="0.35">
      <c r="A73" s="4">
        <v>0</v>
      </c>
      <c r="B73" s="55">
        <f>PMT($O$5,3,$B$69)</f>
        <v>-281208.73662721668</v>
      </c>
      <c r="D73" s="52">
        <f>O33-H61</f>
        <v>16592.90000000014</v>
      </c>
      <c r="E73" s="50"/>
    </row>
    <row r="74" spans="1:5" x14ac:dyDescent="0.35">
      <c r="A74" s="4">
        <v>1</v>
      </c>
      <c r="B74" s="55">
        <f t="shared" ref="B74:B75" si="28">PMT($O$5,3,$B$69)</f>
        <v>-281208.73662721668</v>
      </c>
      <c r="E74" s="50"/>
    </row>
    <row r="75" spans="1:5" x14ac:dyDescent="0.35">
      <c r="A75" s="4">
        <v>2</v>
      </c>
      <c r="B75" s="55">
        <f t="shared" si="28"/>
        <v>-281208.73662721668</v>
      </c>
      <c r="D75" t="s">
        <v>89</v>
      </c>
      <c r="E75" s="50"/>
    </row>
    <row r="76" spans="1:5" x14ac:dyDescent="0.35">
      <c r="A76" s="4">
        <v>3</v>
      </c>
      <c r="B76" s="55">
        <v>0</v>
      </c>
      <c r="D76" s="67">
        <f>B77/D73</f>
        <v>-45.589731084483617</v>
      </c>
      <c r="E76" s="50"/>
    </row>
    <row r="77" spans="1:5" x14ac:dyDescent="0.35">
      <c r="A77" s="56" t="s">
        <v>82</v>
      </c>
      <c r="B77" s="55">
        <f>NPV(O5, B74:B76)+B73</f>
        <v>-756465.84891173453</v>
      </c>
      <c r="E77" s="34"/>
    </row>
    <row r="78" spans="1:5" x14ac:dyDescent="0.35">
      <c r="D78" t="s">
        <v>90</v>
      </c>
      <c r="E78" s="50"/>
    </row>
    <row r="79" spans="1:5" x14ac:dyDescent="0.35">
      <c r="E79" s="50"/>
    </row>
    <row r="80" spans="1:5" x14ac:dyDescent="0.35">
      <c r="D80" s="51"/>
      <c r="E80" s="50"/>
    </row>
  </sheetData>
  <pageMargins left="0.7" right="0.7" top="0.75" bottom="0.75" header="0.3" footer="0.3"/>
  <pageSetup orientation="portrait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H29" sqref="H29"/>
    </sheetView>
  </sheetViews>
  <sheetFormatPr defaultRowHeight="14.5" x14ac:dyDescent="0.35"/>
  <sheetData>
    <row r="1" spans="1:6" x14ac:dyDescent="0.35">
      <c r="A1" s="40" t="s">
        <v>40</v>
      </c>
    </row>
    <row r="3" spans="1:6" x14ac:dyDescent="0.35">
      <c r="A3" t="s">
        <v>41</v>
      </c>
    </row>
    <row r="4" spans="1:6" x14ac:dyDescent="0.35">
      <c r="A4" t="s">
        <v>48</v>
      </c>
    </row>
    <row r="5" spans="1:6" x14ac:dyDescent="0.35">
      <c r="A5" t="s">
        <v>74</v>
      </c>
    </row>
    <row r="6" spans="1:6" x14ac:dyDescent="0.35">
      <c r="A6" t="s">
        <v>83</v>
      </c>
    </row>
    <row r="7" spans="1:6" x14ac:dyDescent="0.35">
      <c r="A7" t="s">
        <v>85</v>
      </c>
    </row>
    <row r="8" spans="1:6" x14ac:dyDescent="0.35">
      <c r="A8" t="s">
        <v>93</v>
      </c>
    </row>
    <row r="10" spans="1:6" x14ac:dyDescent="0.35">
      <c r="A10" s="40" t="s">
        <v>40</v>
      </c>
    </row>
    <row r="11" spans="1:6" x14ac:dyDescent="0.35">
      <c r="A11" t="s">
        <v>95</v>
      </c>
      <c r="F11" t="s">
        <v>96</v>
      </c>
    </row>
    <row r="12" spans="1:6" x14ac:dyDescent="0.35">
      <c r="A12" t="s">
        <v>97</v>
      </c>
    </row>
    <row r="13" spans="1:6" x14ac:dyDescent="0.35">
      <c r="A13" t="s">
        <v>98</v>
      </c>
    </row>
    <row r="14" spans="1:6" x14ac:dyDescent="0.35">
      <c r="A14" t="s">
        <v>99</v>
      </c>
    </row>
    <row r="17" spans="1:1" x14ac:dyDescent="0.35">
      <c r="A17" s="40" t="s">
        <v>103</v>
      </c>
    </row>
    <row r="18" spans="1:1" x14ac:dyDescent="0.35">
      <c r="A18" t="s">
        <v>104</v>
      </c>
    </row>
    <row r="19" spans="1:1" x14ac:dyDescent="0.35">
      <c r="A19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Corr 0.5</vt:lpstr>
      <vt:lpstr>Corr 0</vt:lpstr>
      <vt:lpstr>Corr 1</vt:lpstr>
      <vt:lpstr>only pooling medium &amp; low = 0.5</vt:lpstr>
      <vt:lpstr>only pooling high = 0.5</vt:lpstr>
      <vt:lpstr>only pooling medium &amp; low = 0</vt:lpstr>
      <vt:lpstr>only pooling high = 0</vt:lpstr>
      <vt:lpstr>only pooling medium &amp; low = 1</vt:lpstr>
      <vt:lpstr>only pooling high = 1</vt:lpstr>
      <vt:lpstr>Assumptions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Abhishek</dc:creator>
  <cp:lastModifiedBy>User</cp:lastModifiedBy>
  <dcterms:created xsi:type="dcterms:W3CDTF">2019-04-26T19:38:21Z</dcterms:created>
  <dcterms:modified xsi:type="dcterms:W3CDTF">2022-07-31T02:17:22Z</dcterms:modified>
</cp:coreProperties>
</file>