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25" windowHeight="10305" activeTab="5"/>
  </bookViews>
  <sheets>
    <sheet name="Sheet1" sheetId="1" r:id="rId1"/>
    <sheet name="CoolWipes (wipes)" sheetId="2" r:id="rId2"/>
    <sheet name="CoolWipes (Ointment)" sheetId="5" r:id="rId3"/>
    <sheet name="SportsStuff" sheetId="3" r:id="rId4"/>
    <sheet name="Sheet2" sheetId="4" r:id="rId5"/>
    <sheet name="Rough" sheetId="6" r:id="rId6"/>
  </sheets>
  <definedNames>
    <definedName name="solver_adj" localSheetId="2" hidden="1">'CoolWipes (Ointment)'!$C$29:$I$32</definedName>
    <definedName name="solver_adj" localSheetId="1" hidden="1">'CoolWipes (wipes)'!$C$39:$I$42</definedName>
    <definedName name="solver_adj" localSheetId="5" hidden="1">Rough!$C$33:$I$37,Rough!$C$47:$I$51</definedName>
    <definedName name="solver_adj" localSheetId="0" hidden="1">Sheet1!$C$31:$I$34,Sheet1!$C$40:$I$43</definedName>
    <definedName name="solver_adj" localSheetId="4" hidden="1">Sheet2!$C$49:$I$53,Sheet2!$C$32:$I$36</definedName>
    <definedName name="solver_adj" localSheetId="3" hidden="1">SportsStuff!$C$47:$I$51</definedName>
    <definedName name="solver_cvg" localSheetId="2" hidden="1">0.0001</definedName>
    <definedName name="solver_cvg" localSheetId="1" hidden="1">0.0001</definedName>
    <definedName name="solver_cvg" localSheetId="5" hidden="1">0.0001</definedName>
    <definedName name="solver_cvg" localSheetId="0" hidden="1">0.0001</definedName>
    <definedName name="solver_cvg" localSheetId="4" hidden="1">0.0001</definedName>
    <definedName name="solver_cvg" localSheetId="3" hidden="1">0.0001</definedName>
    <definedName name="solver_drv" localSheetId="2" hidden="1">1</definedName>
    <definedName name="solver_drv" localSheetId="1" hidden="1">1</definedName>
    <definedName name="solver_drv" localSheetId="5" hidden="1">1</definedName>
    <definedName name="solver_drv" localSheetId="0" hidden="1">1</definedName>
    <definedName name="solver_drv" localSheetId="4" hidden="1">2</definedName>
    <definedName name="solver_drv" localSheetId="3" hidden="1">1</definedName>
    <definedName name="solver_eng" localSheetId="2" hidden="1">1</definedName>
    <definedName name="solver_eng" localSheetId="1" hidden="1">1</definedName>
    <definedName name="solver_eng" localSheetId="5" hidden="1">1</definedName>
    <definedName name="solver_eng" localSheetId="4" hidden="1">1</definedName>
    <definedName name="solver_eng" localSheetId="3" hidden="1">1</definedName>
    <definedName name="solver_est" localSheetId="2" hidden="1">1</definedName>
    <definedName name="solver_est" localSheetId="1" hidden="1">1</definedName>
    <definedName name="solver_est" localSheetId="5" hidden="1">1</definedName>
    <definedName name="solver_est" localSheetId="0" hidden="1">1</definedName>
    <definedName name="solver_est" localSheetId="4" hidden="1">1</definedName>
    <definedName name="solver_est" localSheetId="3" hidden="1">1</definedName>
    <definedName name="solver_itr" localSheetId="2" hidden="1">2147483647</definedName>
    <definedName name="solver_itr" localSheetId="1" hidden="1">2147483647</definedName>
    <definedName name="solver_itr" localSheetId="5" hidden="1">2147483647</definedName>
    <definedName name="solver_itr" localSheetId="0" hidden="1">100</definedName>
    <definedName name="solver_itr" localSheetId="4" hidden="1">2147483647</definedName>
    <definedName name="solver_itr" localSheetId="3" hidden="1">2147483647</definedName>
    <definedName name="solver_lhs1" localSheetId="2" hidden="1">'CoolWipes (Ointment)'!$C$29:$H$32</definedName>
    <definedName name="solver_lhs1" localSheetId="1" hidden="1">'CoolWipes (wipes)'!$C$43:$H$43</definedName>
    <definedName name="solver_lhs1" localSheetId="5" hidden="1">Rough!$C$52:$H$52</definedName>
    <definedName name="solver_lhs1" localSheetId="0" hidden="1">Sheet1!$J$31:$J$34</definedName>
    <definedName name="solver_lhs1" localSheetId="4" hidden="1">Sheet2!$C$55:$H$55</definedName>
    <definedName name="solver_lhs1" localSheetId="3" hidden="1">SportsStuff!$C$52:$H$52</definedName>
    <definedName name="solver_lhs2" localSheetId="2" hidden="1">'CoolWipes (Ointment)'!$C$33:$H$33</definedName>
    <definedName name="solver_lhs2" localSheetId="1" hidden="1">'CoolWipes (wipes)'!$I$39</definedName>
    <definedName name="solver_lhs2" localSheetId="5" hidden="1">Rough!$I$33:$I$37</definedName>
    <definedName name="solver_lhs2" localSheetId="0" hidden="1">Sheet1!$J$40:$J$43</definedName>
    <definedName name="solver_lhs2" localSheetId="4" hidden="1">Sheet2!$I$32:$I$36</definedName>
    <definedName name="solver_lhs2" localSheetId="3" hidden="1">SportsStuff!$I$47:$I$51</definedName>
    <definedName name="solver_lhs3" localSheetId="2" hidden="1">'CoolWipes (Ointment)'!$I$29</definedName>
    <definedName name="solver_lhs3" localSheetId="1" hidden="1">'CoolWipes (wipes)'!$I$39:$I$42</definedName>
    <definedName name="solver_lhs3" localSheetId="5" hidden="1">Rough!$I$47:$I$51</definedName>
    <definedName name="solver_lhs3" localSheetId="0" hidden="1">Sheet1!$C$36:$H$36</definedName>
    <definedName name="solver_lhs3" localSheetId="4" hidden="1">Sheet2!$I$49:$I$53</definedName>
    <definedName name="solver_lhs3" localSheetId="3" hidden="1">SportsStuff!$J$33:$J$37</definedName>
    <definedName name="solver_lhs4" localSheetId="2" hidden="1">'CoolWipes (Ointment)'!$I$29:$I$32</definedName>
    <definedName name="solver_lhs4" localSheetId="1" hidden="1">'CoolWipes (wipes)'!$J$39:$J$42</definedName>
    <definedName name="solver_lhs4" localSheetId="5" hidden="1">Rough!$J$33:$J$37</definedName>
    <definedName name="solver_lhs4" localSheetId="0" hidden="1">Sheet1!$C$45:$H$45</definedName>
    <definedName name="solver_lhs4" localSheetId="4" hidden="1">Sheet2!$J$32:$J$36</definedName>
    <definedName name="solver_lhs4" localSheetId="3" hidden="1">SportsStuff!$J$47:$J$51</definedName>
    <definedName name="solver_lhs5" localSheetId="2" hidden="1">'CoolWipes (Ointment)'!$J$29:$J$32</definedName>
    <definedName name="solver_lhs5" localSheetId="1" hidden="1">'CoolWipes (wipes)'!$J$39:$J$42</definedName>
    <definedName name="solver_lhs5" localSheetId="5" hidden="1">Rough!$J$33:$J$37</definedName>
    <definedName name="solver_lhs5" localSheetId="0" hidden="1">Sheet1!$I$31:$I$34</definedName>
    <definedName name="solver_lhs5" localSheetId="4" hidden="1">Sheet2!$J$32:$J$36</definedName>
    <definedName name="solver_lhs5" localSheetId="3" hidden="1">SportsStuff!$J$47:$J$51</definedName>
    <definedName name="solver_lhs6" localSheetId="2" hidden="1">'CoolWipes (Ointment)'!$J$29:$J$32</definedName>
    <definedName name="solver_lhs6" localSheetId="5" hidden="1">Rough!$J$47:$J$51</definedName>
    <definedName name="solver_lhs6" localSheetId="0" hidden="1">Sheet1!$I$40:$I$43</definedName>
    <definedName name="solver_lhs6" localSheetId="4" hidden="1">Sheet2!$J$49:$J$53</definedName>
    <definedName name="solver_lhs7" localSheetId="5" hidden="1">Rough!$J$47:$J$51</definedName>
    <definedName name="solver_lhs7" localSheetId="0" hidden="1">Sheet1!$I$40</definedName>
    <definedName name="solver_lhs7" localSheetId="4" hidden="1">Sheet2!$J$49:$J$53</definedName>
    <definedName name="solver_lhs8" localSheetId="5" hidden="1">Rough!$J$47:$J$51</definedName>
    <definedName name="solver_lhs8" localSheetId="0" hidden="1">Sheet1!$I$40</definedName>
    <definedName name="solver_lhs8" localSheetId="4" hidden="1">Sheet2!$J$49:$J$53</definedName>
    <definedName name="solver_lin" localSheetId="0" hidden="1">2</definedName>
    <definedName name="solver_mip" localSheetId="2" hidden="1">2147483647</definedName>
    <definedName name="solver_mip" localSheetId="1" hidden="1">2147483647</definedName>
    <definedName name="solver_mip" localSheetId="5" hidden="1">2147483647</definedName>
    <definedName name="solver_mip" localSheetId="4" hidden="1">2147483647</definedName>
    <definedName name="solver_mip" localSheetId="3" hidden="1">2147483647</definedName>
    <definedName name="solver_mni" localSheetId="2" hidden="1">30</definedName>
    <definedName name="solver_mni" localSheetId="1" hidden="1">30</definedName>
    <definedName name="solver_mni" localSheetId="5" hidden="1">30</definedName>
    <definedName name="solver_mni" localSheetId="4" hidden="1">30</definedName>
    <definedName name="solver_mni" localSheetId="3" hidden="1">30</definedName>
    <definedName name="solver_mrt" localSheetId="2" hidden="1">0.075</definedName>
    <definedName name="solver_mrt" localSheetId="1" hidden="1">0.075</definedName>
    <definedName name="solver_mrt" localSheetId="5" hidden="1">0.075</definedName>
    <definedName name="solver_mrt" localSheetId="4" hidden="1">0.075</definedName>
    <definedName name="solver_mrt" localSheetId="3" hidden="1">0.075</definedName>
    <definedName name="solver_msl" localSheetId="2" hidden="1">2</definedName>
    <definedName name="solver_msl" localSheetId="1" hidden="1">2</definedName>
    <definedName name="solver_msl" localSheetId="5" hidden="1">2</definedName>
    <definedName name="solver_msl" localSheetId="4" hidden="1">2</definedName>
    <definedName name="solver_msl" localSheetId="3" hidden="1">2</definedName>
    <definedName name="solver_neg" localSheetId="2" hidden="1">1</definedName>
    <definedName name="solver_neg" localSheetId="1" hidden="1">1</definedName>
    <definedName name="solver_neg" localSheetId="5" hidden="1">1</definedName>
    <definedName name="solver_neg" localSheetId="0" hidden="1">1</definedName>
    <definedName name="solver_neg" localSheetId="4" hidden="1">1</definedName>
    <definedName name="solver_neg" localSheetId="3" hidden="1">1</definedName>
    <definedName name="solver_nod" localSheetId="2" hidden="1">2147483647</definedName>
    <definedName name="solver_nod" localSheetId="1" hidden="1">2147483647</definedName>
    <definedName name="solver_nod" localSheetId="5" hidden="1">2147483647</definedName>
    <definedName name="solver_nod" localSheetId="4" hidden="1">2147483647</definedName>
    <definedName name="solver_nod" localSheetId="3" hidden="1">2147483647</definedName>
    <definedName name="solver_num" localSheetId="2" hidden="1">6</definedName>
    <definedName name="solver_num" localSheetId="1" hidden="1">5</definedName>
    <definedName name="solver_num" localSheetId="5" hidden="1">7</definedName>
    <definedName name="solver_num" localSheetId="0" hidden="1">6</definedName>
    <definedName name="solver_num" localSheetId="4" hidden="1">7</definedName>
    <definedName name="solver_num" localSheetId="3" hidden="1">5</definedName>
    <definedName name="solver_nwt" localSheetId="2" hidden="1">1</definedName>
    <definedName name="solver_nwt" localSheetId="1" hidden="1">1</definedName>
    <definedName name="solver_nwt" localSheetId="5" hidden="1">1</definedName>
    <definedName name="solver_nwt" localSheetId="0" hidden="1">1</definedName>
    <definedName name="solver_nwt" localSheetId="4" hidden="1">1</definedName>
    <definedName name="solver_nwt" localSheetId="3" hidden="1">1</definedName>
    <definedName name="solver_opt" localSheetId="2" hidden="1">'CoolWipes (Ointment)'!$C$37</definedName>
    <definedName name="solver_opt" localSheetId="1" hidden="1">'CoolWipes (wipes)'!$C$47</definedName>
    <definedName name="solver_opt" localSheetId="5" hidden="1">Rough!$C$59</definedName>
    <definedName name="solver_opt" localSheetId="0" hidden="1">Sheet1!$O$37</definedName>
    <definedName name="solver_opt" localSheetId="4" hidden="1">Sheet2!$C$60</definedName>
    <definedName name="solver_opt" localSheetId="3" hidden="1">SportsStuff!$C$56</definedName>
    <definedName name="solver_pre" localSheetId="2" hidden="1">0.000001</definedName>
    <definedName name="solver_pre" localSheetId="1" hidden="1">0.000001</definedName>
    <definedName name="solver_pre" localSheetId="5" hidden="1">0.000001</definedName>
    <definedName name="solver_pre" localSheetId="0" hidden="1">0.000001</definedName>
    <definedName name="solver_pre" localSheetId="4" hidden="1">0.000001</definedName>
    <definedName name="solver_pre" localSheetId="3" hidden="1">0.000001</definedName>
    <definedName name="solver_rbv" localSheetId="2" hidden="1">1</definedName>
    <definedName name="solver_rbv" localSheetId="1" hidden="1">1</definedName>
    <definedName name="solver_rbv" localSheetId="5" hidden="1">1</definedName>
    <definedName name="solver_rbv" localSheetId="4" hidden="1">2</definedName>
    <definedName name="solver_rbv" localSheetId="3" hidden="1">1</definedName>
    <definedName name="solver_rel1" localSheetId="2" hidden="1">4</definedName>
    <definedName name="solver_rel1" localSheetId="1" hidden="1">2</definedName>
    <definedName name="solver_rel1" localSheetId="5" hidden="1">2</definedName>
    <definedName name="solver_rel1" localSheetId="0" hidden="1">3</definedName>
    <definedName name="solver_rel1" localSheetId="4" hidden="1">2</definedName>
    <definedName name="solver_rel1" localSheetId="3" hidden="1">2</definedName>
    <definedName name="solver_rel2" localSheetId="2" hidden="1">2</definedName>
    <definedName name="solver_rel2" localSheetId="1" hidden="1">2</definedName>
    <definedName name="solver_rel2" localSheetId="5" hidden="1">5</definedName>
    <definedName name="solver_rel2" localSheetId="0" hidden="1">3</definedName>
    <definedName name="solver_rel2" localSheetId="4" hidden="1">5</definedName>
    <definedName name="solver_rel2" localSheetId="3" hidden="1">5</definedName>
    <definedName name="solver_rel3" localSheetId="2" hidden="1">2</definedName>
    <definedName name="solver_rel3" localSheetId="1" hidden="1">5</definedName>
    <definedName name="solver_rel3" localSheetId="5" hidden="1">5</definedName>
    <definedName name="solver_rel3" localSheetId="0" hidden="1">2</definedName>
    <definedName name="solver_rel3" localSheetId="4" hidden="1">5</definedName>
    <definedName name="solver_rel3" localSheetId="3" hidden="1">1</definedName>
    <definedName name="solver_rel4" localSheetId="2" hidden="1">5</definedName>
    <definedName name="solver_rel4" localSheetId="1" hidden="1">1</definedName>
    <definedName name="solver_rel4" localSheetId="5" hidden="1">1</definedName>
    <definedName name="solver_rel4" localSheetId="0" hidden="1">2</definedName>
    <definedName name="solver_rel4" localSheetId="4" hidden="1">1</definedName>
    <definedName name="solver_rel4" localSheetId="3" hidden="1">1</definedName>
    <definedName name="solver_rel5" localSheetId="2" hidden="1">1</definedName>
    <definedName name="solver_rel5" localSheetId="1" hidden="1">1</definedName>
    <definedName name="solver_rel5" localSheetId="5" hidden="1">1</definedName>
    <definedName name="solver_rel5" localSheetId="0" hidden="1">5</definedName>
    <definedName name="solver_rel5" localSheetId="4" hidden="1">1</definedName>
    <definedName name="solver_rel5" localSheetId="3" hidden="1">1</definedName>
    <definedName name="solver_rel6" localSheetId="2" hidden="1">1</definedName>
    <definedName name="solver_rel6" localSheetId="5" hidden="1">1</definedName>
    <definedName name="solver_rel6" localSheetId="0" hidden="1">5</definedName>
    <definedName name="solver_rel6" localSheetId="4" hidden="1">1</definedName>
    <definedName name="solver_rel7" localSheetId="5" hidden="1">1</definedName>
    <definedName name="solver_rel7" localSheetId="0" hidden="1">2</definedName>
    <definedName name="solver_rel7" localSheetId="4" hidden="1">1</definedName>
    <definedName name="solver_rel8" localSheetId="5" hidden="1">1</definedName>
    <definedName name="solver_rel8" localSheetId="0" hidden="1">2</definedName>
    <definedName name="solver_rel8" localSheetId="4" hidden="1">1</definedName>
    <definedName name="solver_rhs1" localSheetId="2" hidden="1">"integer"</definedName>
    <definedName name="solver_rhs1" localSheetId="1" hidden="1">'CoolWipes (wipes)'!$C$45:$H$45</definedName>
    <definedName name="solver_rhs1" localSheetId="5" hidden="1">Rough!$C$54:$H$54</definedName>
    <definedName name="solver_rhs1" localSheetId="0" hidden="1">0</definedName>
    <definedName name="solver_rhs1" localSheetId="4" hidden="1">Sheet2!$C$58:$H$58</definedName>
    <definedName name="solver_rhs1" localSheetId="3" hidden="1">SportsStuff!$C$54:$H$54</definedName>
    <definedName name="solver_rhs2" localSheetId="2" hidden="1">'CoolWipes (Ointment)'!$C$35:$H$35</definedName>
    <definedName name="solver_rhs2" localSheetId="1" hidden="1">1</definedName>
    <definedName name="solver_rhs2" localSheetId="5" hidden="1">"binary"</definedName>
    <definedName name="solver_rhs2" localSheetId="0" hidden="1">0</definedName>
    <definedName name="solver_rhs2" localSheetId="4" hidden="1">"binary"</definedName>
    <definedName name="solver_rhs2" localSheetId="3" hidden="1">"binary"</definedName>
    <definedName name="solver_rhs3" localSheetId="2" hidden="1">1</definedName>
    <definedName name="solver_rhs3" localSheetId="1" hidden="1">"binary"</definedName>
    <definedName name="solver_rhs3" localSheetId="5" hidden="1">"binary"</definedName>
    <definedName name="solver_rhs3" localSheetId="0" hidden="1">0</definedName>
    <definedName name="solver_rhs3" localSheetId="4" hidden="1">"binary"</definedName>
    <definedName name="solver_rhs3" localSheetId="3" hidden="1">SportsStuff!$L$33:$L$37</definedName>
    <definedName name="solver_rhs4" localSheetId="2" hidden="1">"binary"</definedName>
    <definedName name="solver_rhs4" localSheetId="1" hidden="1">'CoolWipes (wipes)'!$L$39:$L$42</definedName>
    <definedName name="solver_rhs4" localSheetId="5" hidden="1">Rough!$L$33:$L$37</definedName>
    <definedName name="solver_rhs4" localSheetId="0" hidden="1">0</definedName>
    <definedName name="solver_rhs4" localSheetId="4" hidden="1">Sheet2!$L$32:$L$36</definedName>
    <definedName name="solver_rhs4" localSheetId="3" hidden="1">SportsStuff!$L$47:$L$51</definedName>
    <definedName name="solver_rhs5" localSheetId="2" hidden="1">'CoolWipes (Ointment)'!$L$29:$L$32</definedName>
    <definedName name="solver_rhs5" localSheetId="1" hidden="1">'CoolWipes (wipes)'!$M$39:$M$42</definedName>
    <definedName name="solver_rhs5" localSheetId="5" hidden="1">Rough!$M$33:$M$37</definedName>
    <definedName name="solver_rhs5" localSheetId="0" hidden="1">binary</definedName>
    <definedName name="solver_rhs5" localSheetId="4" hidden="1">Sheet2!$M$32:$M$36</definedName>
    <definedName name="solver_rhs5" localSheetId="3" hidden="1">SportsStuff!$M$47:$M$51</definedName>
    <definedName name="solver_rhs6" localSheetId="2" hidden="1">'CoolWipes (Ointment)'!$M$29:$M$32</definedName>
    <definedName name="solver_rhs6" localSheetId="5" hidden="1">Rough!$L$47:$L$51</definedName>
    <definedName name="solver_rhs6" localSheetId="0" hidden="1">binary</definedName>
    <definedName name="solver_rhs6" localSheetId="4" hidden="1">Sheet2!$L$49:$L$53</definedName>
    <definedName name="solver_rhs7" localSheetId="5" hidden="1">Rough!$M$47:$M$51</definedName>
    <definedName name="solver_rhs7" localSheetId="0" hidden="1">1</definedName>
    <definedName name="solver_rhs7" localSheetId="4" hidden="1">Sheet2!$M$49:$M$53</definedName>
    <definedName name="solver_rhs8" localSheetId="5" hidden="1">Rough!$M$47:$M$51</definedName>
    <definedName name="solver_rhs8" localSheetId="0" hidden="1">1</definedName>
    <definedName name="solver_rhs8" localSheetId="4" hidden="1">Sheet2!$M$49:$M$53</definedName>
    <definedName name="solver_rlx" localSheetId="2" hidden="1">2</definedName>
    <definedName name="solver_rlx" localSheetId="1" hidden="1">2</definedName>
    <definedName name="solver_rlx" localSheetId="5" hidden="1">2</definedName>
    <definedName name="solver_rlx" localSheetId="4" hidden="1">2</definedName>
    <definedName name="solver_rlx" localSheetId="3" hidden="1">2</definedName>
    <definedName name="solver_rsd" localSheetId="2" hidden="1">0</definedName>
    <definedName name="solver_rsd" localSheetId="1" hidden="1">0</definedName>
    <definedName name="solver_rsd" localSheetId="5" hidden="1">0</definedName>
    <definedName name="solver_rsd" localSheetId="4" hidden="1">0</definedName>
    <definedName name="solver_rsd" localSheetId="3" hidden="1">0</definedName>
    <definedName name="solver_scl" localSheetId="2" hidden="1">1</definedName>
    <definedName name="solver_scl" localSheetId="1" hidden="1">1</definedName>
    <definedName name="solver_scl" localSheetId="5" hidden="1">1</definedName>
    <definedName name="solver_scl" localSheetId="0" hidden="1">2</definedName>
    <definedName name="solver_scl" localSheetId="4" hidden="1">2</definedName>
    <definedName name="solver_scl" localSheetId="3" hidden="1">1</definedName>
    <definedName name="solver_sho" localSheetId="2" hidden="1">2</definedName>
    <definedName name="solver_sho" localSheetId="1" hidden="1">2</definedName>
    <definedName name="solver_sho" localSheetId="5" hidden="1">2</definedName>
    <definedName name="solver_sho" localSheetId="0" hidden="1">2</definedName>
    <definedName name="solver_sho" localSheetId="4" hidden="1">2</definedName>
    <definedName name="solver_sho" localSheetId="3" hidden="1">2</definedName>
    <definedName name="solver_ssz" localSheetId="2" hidden="1">100</definedName>
    <definedName name="solver_ssz" localSheetId="1" hidden="1">100</definedName>
    <definedName name="solver_ssz" localSheetId="5" hidden="1">100</definedName>
    <definedName name="solver_ssz" localSheetId="4" hidden="1">100</definedName>
    <definedName name="solver_ssz" localSheetId="3" hidden="1">100</definedName>
    <definedName name="solver_tim" localSheetId="2" hidden="1">2147483647</definedName>
    <definedName name="solver_tim" localSheetId="1" hidden="1">2147483647</definedName>
    <definedName name="solver_tim" localSheetId="5" hidden="1">2147483647</definedName>
    <definedName name="solver_tim" localSheetId="0" hidden="1">100</definedName>
    <definedName name="solver_tim" localSheetId="4" hidden="1">2147483647</definedName>
    <definedName name="solver_tim" localSheetId="3" hidden="1">2147483647</definedName>
    <definedName name="solver_tol" localSheetId="2" hidden="1">0.01</definedName>
    <definedName name="solver_tol" localSheetId="1" hidden="1">0.01</definedName>
    <definedName name="solver_tol" localSheetId="5" hidden="1">0.01</definedName>
    <definedName name="solver_tol" localSheetId="0" hidden="1">0.05</definedName>
    <definedName name="solver_tol" localSheetId="4" hidden="1">0.01</definedName>
    <definedName name="solver_tol" localSheetId="3" hidden="1">0.01</definedName>
    <definedName name="solver_typ" localSheetId="2" hidden="1">2</definedName>
    <definedName name="solver_typ" localSheetId="1" hidden="1">2</definedName>
    <definedName name="solver_typ" localSheetId="5" hidden="1">2</definedName>
    <definedName name="solver_typ" localSheetId="0" hidden="1">2</definedName>
    <definedName name="solver_typ" localSheetId="4" hidden="1">2</definedName>
    <definedName name="solver_typ" localSheetId="3" hidden="1">2</definedName>
    <definedName name="solver_val" localSheetId="2" hidden="1">0</definedName>
    <definedName name="solver_val" localSheetId="1" hidden="1">0</definedName>
    <definedName name="solver_val" localSheetId="5" hidden="1">0</definedName>
    <definedName name="solver_val" localSheetId="0" hidden="1">0</definedName>
    <definedName name="solver_val" localSheetId="4" hidden="1">0</definedName>
    <definedName name="solver_val" localSheetId="3" hidden="1">0</definedName>
    <definedName name="solver_ver" localSheetId="2" hidden="1">3</definedName>
    <definedName name="solver_ver" localSheetId="1" hidden="1">3</definedName>
    <definedName name="solver_ver" localSheetId="5" hidden="1">3</definedName>
    <definedName name="solver_ver" localSheetId="4" hidden="1">3</definedName>
    <definedName name="solver_ver" localSheetId="3" hidden="1">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54" i="6" l="1"/>
  <c r="E54" i="6"/>
  <c r="F54" i="6"/>
  <c r="G54" i="6"/>
  <c r="H54" i="6"/>
  <c r="C54" i="6"/>
  <c r="D8" i="6"/>
  <c r="E8" i="6"/>
  <c r="F8" i="6"/>
  <c r="G8" i="6"/>
  <c r="H8" i="6"/>
  <c r="D9" i="6"/>
  <c r="E9" i="6"/>
  <c r="F9" i="6"/>
  <c r="G9" i="6"/>
  <c r="H9" i="6"/>
  <c r="D10" i="6"/>
  <c r="D27" i="6" s="1"/>
  <c r="E10" i="6"/>
  <c r="E27" i="6" s="1"/>
  <c r="F10" i="6"/>
  <c r="F27" i="6" s="1"/>
  <c r="G10" i="6"/>
  <c r="G27" i="6" s="1"/>
  <c r="H10" i="6"/>
  <c r="H27" i="6" s="1"/>
  <c r="D11" i="6"/>
  <c r="E11" i="6"/>
  <c r="F11" i="6"/>
  <c r="G11" i="6"/>
  <c r="H11" i="6"/>
  <c r="D12" i="6"/>
  <c r="E12" i="6"/>
  <c r="F12" i="6"/>
  <c r="G12" i="6"/>
  <c r="H12" i="6"/>
  <c r="C9" i="6"/>
  <c r="C10" i="6"/>
  <c r="C27" i="6" s="1"/>
  <c r="C11" i="6"/>
  <c r="C12" i="6"/>
  <c r="C8" i="6"/>
  <c r="I27" i="6"/>
  <c r="C38" i="6"/>
  <c r="C52" i="6" s="1"/>
  <c r="H38" i="6"/>
  <c r="H52" i="6" s="1"/>
  <c r="G38" i="6"/>
  <c r="G52" i="6" s="1"/>
  <c r="F38" i="6"/>
  <c r="F52" i="6" s="1"/>
  <c r="E38" i="6"/>
  <c r="E52" i="6" s="1"/>
  <c r="D38" i="6"/>
  <c r="D52" i="6" s="1"/>
  <c r="C42" i="3"/>
  <c r="M34" i="6"/>
  <c r="M35" i="6"/>
  <c r="M36" i="6"/>
  <c r="M37" i="6"/>
  <c r="M33" i="6"/>
  <c r="M48" i="6"/>
  <c r="M49" i="6"/>
  <c r="M50" i="6"/>
  <c r="M51" i="6"/>
  <c r="M47" i="6"/>
  <c r="J48" i="6"/>
  <c r="N48" i="6" s="1"/>
  <c r="J49" i="6"/>
  <c r="N49" i="6" s="1"/>
  <c r="J50" i="6"/>
  <c r="N50" i="6" s="1"/>
  <c r="J51" i="6"/>
  <c r="N51" i="6" s="1"/>
  <c r="J47" i="6"/>
  <c r="N47" i="6" s="1"/>
  <c r="J34" i="6"/>
  <c r="N34" i="6" s="1"/>
  <c r="J35" i="6"/>
  <c r="N35" i="6" s="1"/>
  <c r="J36" i="6"/>
  <c r="N36" i="6" s="1"/>
  <c r="J37" i="6"/>
  <c r="N37" i="6" s="1"/>
  <c r="J33" i="6"/>
  <c r="I4" i="6"/>
  <c r="J27" i="6" s="1"/>
  <c r="N33" i="6" l="1"/>
  <c r="N38" i="6" s="1"/>
  <c r="N52" i="6"/>
  <c r="K27" i="6"/>
  <c r="C63" i="4"/>
  <c r="C67" i="4"/>
  <c r="C60" i="4"/>
  <c r="J32" i="4"/>
  <c r="C59" i="3"/>
  <c r="N33" i="3"/>
  <c r="M33" i="3"/>
  <c r="K27" i="3"/>
  <c r="J27" i="3"/>
  <c r="I27" i="3"/>
  <c r="C27" i="3"/>
  <c r="C59" i="6" l="1"/>
  <c r="C37" i="5"/>
  <c r="M29" i="5"/>
  <c r="J29" i="5"/>
  <c r="M39" i="2"/>
  <c r="J39" i="2"/>
  <c r="J42" i="2"/>
  <c r="I33" i="2"/>
  <c r="C27" i="2"/>
  <c r="J27" i="2"/>
  <c r="I27" i="2"/>
  <c r="O37" i="1"/>
  <c r="G58" i="4" l="1"/>
  <c r="F58" i="4"/>
  <c r="E58" i="4"/>
  <c r="D58" i="4"/>
  <c r="R5" i="4"/>
  <c r="R6" i="4" s="1"/>
  <c r="R7" i="4" s="1"/>
  <c r="S5" i="4"/>
  <c r="S6" i="4" s="1"/>
  <c r="S7" i="4" s="1"/>
  <c r="T5" i="4"/>
  <c r="T6" i="4" s="1"/>
  <c r="T7" i="4" s="1"/>
  <c r="U5" i="4"/>
  <c r="U6" i="4" s="1"/>
  <c r="U7" i="4" s="1"/>
  <c r="V5" i="4"/>
  <c r="V6" i="4" s="1"/>
  <c r="V7" i="4" s="1"/>
  <c r="Q5" i="4"/>
  <c r="W5" i="4" s="1"/>
  <c r="W4" i="4"/>
  <c r="H58" i="4"/>
  <c r="C58" i="4"/>
  <c r="J36" i="4"/>
  <c r="C65" i="4"/>
  <c r="C43" i="4"/>
  <c r="C41" i="4"/>
  <c r="J35" i="4"/>
  <c r="J34" i="4"/>
  <c r="J33" i="4"/>
  <c r="N32" i="4"/>
  <c r="J49" i="4"/>
  <c r="N49" i="4" s="1"/>
  <c r="C55" i="4"/>
  <c r="M50" i="4"/>
  <c r="M51" i="4"/>
  <c r="M52" i="4"/>
  <c r="M53" i="4"/>
  <c r="M49" i="4"/>
  <c r="M33" i="4"/>
  <c r="M34" i="4"/>
  <c r="M35" i="4"/>
  <c r="M36" i="4"/>
  <c r="M32" i="4"/>
  <c r="Q6" i="4" l="1"/>
  <c r="N36" i="4"/>
  <c r="C42" i="4"/>
  <c r="M30" i="5"/>
  <c r="M31" i="5"/>
  <c r="M32" i="5"/>
  <c r="H33" i="5"/>
  <c r="G33" i="5"/>
  <c r="F33" i="5"/>
  <c r="E33" i="5"/>
  <c r="D33" i="5"/>
  <c r="C33" i="5"/>
  <c r="J32" i="5"/>
  <c r="J31" i="5"/>
  <c r="J30" i="5"/>
  <c r="H12" i="5"/>
  <c r="G12" i="5"/>
  <c r="F12" i="5"/>
  <c r="E12" i="5"/>
  <c r="D12" i="5"/>
  <c r="C12" i="5"/>
  <c r="H11" i="5"/>
  <c r="G11" i="5"/>
  <c r="F11" i="5"/>
  <c r="E11" i="5"/>
  <c r="D11" i="5"/>
  <c r="C11" i="5"/>
  <c r="H10" i="5"/>
  <c r="G10" i="5"/>
  <c r="F10" i="5"/>
  <c r="E10" i="5"/>
  <c r="D10" i="5"/>
  <c r="C10" i="5"/>
  <c r="H9" i="5"/>
  <c r="G9" i="5"/>
  <c r="F9" i="5"/>
  <c r="E9" i="5"/>
  <c r="D9" i="5"/>
  <c r="C9" i="5"/>
  <c r="I5" i="5"/>
  <c r="I4" i="5"/>
  <c r="M42" i="2"/>
  <c r="M41" i="2"/>
  <c r="M40" i="2"/>
  <c r="C43" i="2"/>
  <c r="J31" i="2"/>
  <c r="F31" i="2"/>
  <c r="F27" i="2"/>
  <c r="H27" i="2"/>
  <c r="D55" i="4"/>
  <c r="E55" i="4"/>
  <c r="F55" i="4"/>
  <c r="G55" i="4"/>
  <c r="H55" i="4"/>
  <c r="J53" i="4"/>
  <c r="N53" i="4" s="1"/>
  <c r="J52" i="4"/>
  <c r="N52" i="4" s="1"/>
  <c r="J51" i="4"/>
  <c r="N51" i="4" s="1"/>
  <c r="J50" i="4"/>
  <c r="H37" i="4"/>
  <c r="G37" i="4"/>
  <c r="F37" i="4"/>
  <c r="E37" i="4"/>
  <c r="D37" i="4"/>
  <c r="C37" i="4"/>
  <c r="N35" i="4"/>
  <c r="N34" i="4"/>
  <c r="N33" i="4"/>
  <c r="I26" i="4"/>
  <c r="H26" i="4"/>
  <c r="G26" i="4"/>
  <c r="F26" i="4"/>
  <c r="E26" i="4"/>
  <c r="D26" i="4"/>
  <c r="C26" i="4"/>
  <c r="I4" i="4"/>
  <c r="J26" i="4" s="1"/>
  <c r="C56" i="3"/>
  <c r="M50" i="3"/>
  <c r="M51" i="3"/>
  <c r="M47" i="3"/>
  <c r="M48" i="3"/>
  <c r="M49" i="3"/>
  <c r="J47" i="3"/>
  <c r="N47" i="3" s="1"/>
  <c r="M34" i="3"/>
  <c r="M35" i="3"/>
  <c r="M36" i="3"/>
  <c r="M37" i="3"/>
  <c r="H52" i="3"/>
  <c r="G52" i="3"/>
  <c r="F52" i="3"/>
  <c r="E52" i="3"/>
  <c r="D52" i="3"/>
  <c r="C52" i="3"/>
  <c r="J51" i="3"/>
  <c r="N51" i="3" s="1"/>
  <c r="J50" i="3"/>
  <c r="N50" i="3" s="1"/>
  <c r="J49" i="3"/>
  <c r="N49" i="3" s="1"/>
  <c r="J48" i="3"/>
  <c r="N48" i="3" s="1"/>
  <c r="J33" i="3"/>
  <c r="C38" i="3"/>
  <c r="D38" i="3"/>
  <c r="E38" i="3"/>
  <c r="F38" i="3"/>
  <c r="G38" i="3"/>
  <c r="H38" i="3"/>
  <c r="J37" i="3"/>
  <c r="N37" i="3" s="1"/>
  <c r="D27" i="3"/>
  <c r="E27" i="3"/>
  <c r="F27" i="3"/>
  <c r="G27" i="3"/>
  <c r="H27" i="3"/>
  <c r="J36" i="3"/>
  <c r="N36" i="3" s="1"/>
  <c r="J35" i="3"/>
  <c r="N35" i="3" s="1"/>
  <c r="J34" i="3"/>
  <c r="N34" i="3" s="1"/>
  <c r="I4" i="3"/>
  <c r="D9" i="2"/>
  <c r="D31" i="2" s="1"/>
  <c r="E9" i="2"/>
  <c r="E31" i="2" s="1"/>
  <c r="F9" i="2"/>
  <c r="G9" i="2"/>
  <c r="G27" i="2" s="1"/>
  <c r="H9" i="2"/>
  <c r="H31" i="2" s="1"/>
  <c r="D10" i="2"/>
  <c r="E10" i="2"/>
  <c r="F10" i="2"/>
  <c r="G10" i="2"/>
  <c r="H10" i="2"/>
  <c r="D11" i="2"/>
  <c r="E11" i="2"/>
  <c r="F11" i="2"/>
  <c r="G11" i="2"/>
  <c r="H11" i="2"/>
  <c r="D12" i="2"/>
  <c r="E12" i="2"/>
  <c r="F12" i="2"/>
  <c r="G12" i="2"/>
  <c r="H12" i="2"/>
  <c r="C10" i="2"/>
  <c r="C11" i="2"/>
  <c r="C12" i="2"/>
  <c r="C9" i="2"/>
  <c r="C31" i="2" s="1"/>
  <c r="D43" i="2"/>
  <c r="E43" i="2"/>
  <c r="F43" i="2"/>
  <c r="G43" i="2"/>
  <c r="H43" i="2"/>
  <c r="J40" i="2"/>
  <c r="J41" i="2"/>
  <c r="H23" i="1"/>
  <c r="I5" i="2"/>
  <c r="I31" i="2" s="1"/>
  <c r="I4" i="2"/>
  <c r="D45" i="1"/>
  <c r="E45" i="1"/>
  <c r="F45" i="1"/>
  <c r="G45" i="1"/>
  <c r="H45" i="1"/>
  <c r="C45" i="1"/>
  <c r="D36" i="1"/>
  <c r="E36" i="1"/>
  <c r="F36" i="1"/>
  <c r="G36" i="1"/>
  <c r="H36" i="1"/>
  <c r="C36" i="1"/>
  <c r="J32" i="1"/>
  <c r="J33" i="1"/>
  <c r="J34" i="1"/>
  <c r="J31" i="1"/>
  <c r="J41" i="1"/>
  <c r="J42" i="1"/>
  <c r="J43" i="1"/>
  <c r="J40" i="1"/>
  <c r="C24" i="1"/>
  <c r="D24" i="1"/>
  <c r="E24" i="1"/>
  <c r="F24" i="1"/>
  <c r="G24" i="1"/>
  <c r="H24" i="1"/>
  <c r="C25" i="1"/>
  <c r="D25" i="1"/>
  <c r="E25" i="1"/>
  <c r="F25" i="1"/>
  <c r="G25" i="1"/>
  <c r="H25" i="1"/>
  <c r="C26" i="1"/>
  <c r="D26" i="1"/>
  <c r="E26" i="1"/>
  <c r="F26" i="1"/>
  <c r="G26" i="1"/>
  <c r="H26" i="1"/>
  <c r="D23" i="1"/>
  <c r="E23" i="1"/>
  <c r="F23" i="1"/>
  <c r="G23" i="1"/>
  <c r="C23" i="1"/>
  <c r="I18" i="1"/>
  <c r="I17" i="1"/>
  <c r="Q7" i="4" l="1"/>
  <c r="W7" i="4" s="1"/>
  <c r="W6" i="4"/>
  <c r="N50" i="4"/>
  <c r="N54" i="4" s="1"/>
  <c r="C66" i="4" s="1"/>
  <c r="C64" i="4"/>
  <c r="D27" i="2"/>
  <c r="E27" i="2"/>
  <c r="G31" i="2"/>
  <c r="K31" i="2" s="1"/>
  <c r="C47" i="2"/>
  <c r="K26" i="4"/>
  <c r="N37" i="4"/>
  <c r="C44" i="4" s="1"/>
  <c r="C45" i="4" s="1"/>
  <c r="N52" i="3"/>
  <c r="N38" i="3"/>
  <c r="K27" i="2" l="1"/>
</calcChain>
</file>

<file path=xl/sharedStrings.xml><?xml version="1.0" encoding="utf-8"?>
<sst xmlns="http://schemas.openxmlformats.org/spreadsheetml/2006/main" count="718" uniqueCount="84">
  <si>
    <t>Plant cost and Capacity</t>
  </si>
  <si>
    <t>Plant</t>
  </si>
  <si>
    <t>Fixed Cost</t>
  </si>
  <si>
    <t>Variable Cost</t>
  </si>
  <si>
    <t>Capacity</t>
  </si>
  <si>
    <t>Wipes</t>
  </si>
  <si>
    <t>Ointement</t>
  </si>
  <si>
    <t>Chicago</t>
  </si>
  <si>
    <t>Atlanta</t>
  </si>
  <si>
    <t>LA</t>
  </si>
  <si>
    <t>Princeton</t>
  </si>
  <si>
    <t>Regional Demand by product</t>
  </si>
  <si>
    <t>Zone</t>
  </si>
  <si>
    <t>Northwest</t>
  </si>
  <si>
    <t>Southwest</t>
  </si>
  <si>
    <t>Upper Midwest</t>
  </si>
  <si>
    <t>Lower Midwest</t>
  </si>
  <si>
    <t>Northeast</t>
  </si>
  <si>
    <t>Southeast</t>
  </si>
  <si>
    <t>Total</t>
  </si>
  <si>
    <t>Transportation Cost</t>
  </si>
  <si>
    <t>Transport cost Multiplier</t>
  </si>
  <si>
    <t>Decision Variable (Wipes)</t>
  </si>
  <si>
    <t>Decision Variable (Ointement)</t>
  </si>
  <si>
    <t>Yi</t>
  </si>
  <si>
    <t>Remaining Capacity</t>
  </si>
  <si>
    <t>Wipes Demand</t>
  </si>
  <si>
    <t>Constraint</t>
  </si>
  <si>
    <t>Ointement Demand</t>
  </si>
  <si>
    <t xml:space="preserve">Objective </t>
  </si>
  <si>
    <t>Transportation Cost (wipes)</t>
  </si>
  <si>
    <t>Transportation Cost (Ointment)</t>
  </si>
  <si>
    <t>Total Cost</t>
  </si>
  <si>
    <t>Open</t>
  </si>
  <si>
    <t>Transportation Cost (Wipes)</t>
  </si>
  <si>
    <t>Demand</t>
  </si>
  <si>
    <t>Objective</t>
  </si>
  <si>
    <t>LHS</t>
  </si>
  <si>
    <t>&lt;=</t>
  </si>
  <si>
    <t>=</t>
  </si>
  <si>
    <t xml:space="preserve">Fixed Cost </t>
  </si>
  <si>
    <t xml:space="preserve">Variable cost </t>
  </si>
  <si>
    <t>Transportation cost</t>
  </si>
  <si>
    <t>Subject to</t>
  </si>
  <si>
    <t>1) Demand Constraint</t>
  </si>
  <si>
    <t>Sum(Xi)</t>
  </si>
  <si>
    <t>Capacity(j)</t>
  </si>
  <si>
    <t>M*Yj</t>
  </si>
  <si>
    <t>Fj* Yj</t>
  </si>
  <si>
    <t>Open Close Constraint</t>
  </si>
  <si>
    <t>Xij * Tij</t>
  </si>
  <si>
    <t>Xij * C</t>
  </si>
  <si>
    <t>Sum(Xj)</t>
  </si>
  <si>
    <t>Demand(i)</t>
  </si>
  <si>
    <t>Transportation Cost factor</t>
  </si>
  <si>
    <t>Seattle</t>
  </si>
  <si>
    <t>Denver</t>
  </si>
  <si>
    <t>St. Louis</t>
  </si>
  <si>
    <t>Philadelphia</t>
  </si>
  <si>
    <t>Small Warehouse</t>
  </si>
  <si>
    <t>Large Warehouse</t>
  </si>
  <si>
    <t>Sportstuff</t>
  </si>
  <si>
    <t>Inventory cost</t>
  </si>
  <si>
    <t>Fixed cost</t>
  </si>
  <si>
    <t>Total Cost (fixed, variable, transportation, inventory holding)</t>
  </si>
  <si>
    <t>Inventory</t>
  </si>
  <si>
    <t>Transportation Cost (small warehouse)</t>
  </si>
  <si>
    <t>Transportation Cost (Large warehouse)</t>
  </si>
  <si>
    <t>Final Obj</t>
  </si>
  <si>
    <t>VC</t>
  </si>
  <si>
    <t>FC</t>
  </si>
  <si>
    <t>Ointment</t>
  </si>
  <si>
    <t>Optimal</t>
  </si>
  <si>
    <t>Current</t>
  </si>
  <si>
    <t>Cost</t>
  </si>
  <si>
    <t>Chicago + Optimal</t>
  </si>
  <si>
    <t>Transportatio</t>
  </si>
  <si>
    <t>Year</t>
  </si>
  <si>
    <t>Small</t>
  </si>
  <si>
    <t>Large</t>
  </si>
  <si>
    <t>St Louis</t>
  </si>
  <si>
    <t>Seattle, St Louis</t>
  </si>
  <si>
    <t>Demand Factor</t>
  </si>
  <si>
    <t>Cost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</si>
</sst>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0" fontId="1" fillId="0" borderId="2" xfId="0" applyFont="1" applyBorder="1"/>
    <xf numFmtId="0" fontId="1" fillId="0" borderId="0" xfId="0" applyFont="1" applyBorder="1" applyAlignment="1"/>
    <xf numFmtId="0" fontId="1" fillId="0" borderId="0" xfId="0" applyFont="1" applyFill="1" applyBorder="1" applyAlignment="1">
      <alignment horizontal="center"/>
    </xf>
    <xf numFmtId="0" fontId="0" fillId="0" borderId="0" xfId="0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0" fillId="2" borderId="1" xfId="0" applyFill="1" applyBorder="1"/>
    <xf numFmtId="0" fontId="1" fillId="0" borderId="6" xfId="0" applyFont="1" applyBorder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center" wrapText="1"/>
    </xf>
    <xf numFmtId="1" fontId="0" fillId="3" borderId="1" xfId="0" applyNumberFormat="1" applyFill="1" applyBorder="1"/>
    <xf numFmtId="1" fontId="0" fillId="3" borderId="1" xfId="0" applyNumberFormat="1" applyFill="1" applyBorder="1" applyAlignment="1">
      <alignment horizontal="center" vertical="center"/>
    </xf>
    <xf numFmtId="1" fontId="0" fillId="0" borderId="8" xfId="0" applyNumberFormat="1" applyBorder="1"/>
    <xf numFmtId="1" fontId="0" fillId="0" borderId="4" xfId="0" applyNumberFormat="1" applyBorder="1" applyAlignment="1">
      <alignment horizontal="center" vertical="center"/>
    </xf>
    <xf numFmtId="1" fontId="0" fillId="0" borderId="1" xfId="0" applyNumberFormat="1" applyBorder="1"/>
    <xf numFmtId="1" fontId="0" fillId="0" borderId="9" xfId="0" applyNumberFormat="1" applyBorder="1"/>
    <xf numFmtId="1" fontId="0" fillId="0" borderId="10" xfId="0" applyNumberFormat="1" applyBorder="1"/>
    <xf numFmtId="1" fontId="0" fillId="0" borderId="11" xfId="0" applyNumberFormat="1" applyBorder="1"/>
    <xf numFmtId="1" fontId="0" fillId="0" borderId="12" xfId="0" applyNumberFormat="1" applyBorder="1"/>
    <xf numFmtId="1" fontId="0" fillId="0" borderId="13" xfId="0" applyNumberFormat="1" applyBorder="1"/>
    <xf numFmtId="1" fontId="0" fillId="0" borderId="7" xfId="0" applyNumberFormat="1" applyBorder="1"/>
    <xf numFmtId="1" fontId="0" fillId="0" borderId="1" xfId="0" applyNumberFormat="1" applyBorder="1" applyAlignment="1">
      <alignment horizontal="right"/>
    </xf>
    <xf numFmtId="1" fontId="0" fillId="0" borderId="4" xfId="0" applyNumberFormat="1" applyBorder="1"/>
    <xf numFmtId="1" fontId="0" fillId="0" borderId="14" xfId="0" applyNumberFormat="1" applyBorder="1"/>
    <xf numFmtId="1" fontId="0" fillId="0" borderId="5" xfId="0" applyNumberFormat="1" applyBorder="1"/>
    <xf numFmtId="1" fontId="0" fillId="0" borderId="15" xfId="0" applyNumberFormat="1" applyBorder="1"/>
    <xf numFmtId="1" fontId="0" fillId="2" borderId="1" xfId="0" applyNumberFormat="1" applyFill="1" applyBorder="1"/>
    <xf numFmtId="0" fontId="1" fillId="0" borderId="1" xfId="0" applyFont="1" applyBorder="1" applyAlignment="1">
      <alignment horizontal="center"/>
    </xf>
    <xf numFmtId="0" fontId="1" fillId="0" borderId="0" xfId="0" applyFont="1" applyFill="1" applyBorder="1"/>
    <xf numFmtId="0" fontId="0" fillId="0" borderId="0" xfId="0" applyAlignment="1">
      <alignment horizontal="center"/>
    </xf>
    <xf numFmtId="0" fontId="1" fillId="0" borderId="0" xfId="0" applyFont="1"/>
    <xf numFmtId="0" fontId="0" fillId="2" borderId="1" xfId="0" applyFill="1" applyBorder="1" applyAlignment="1">
      <alignment horizont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3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0" borderId="7" xfId="0" applyBorder="1" applyAlignment="1">
      <alignment horizontal="center"/>
    </xf>
    <xf numFmtId="0" fontId="0" fillId="0" borderId="1" xfId="0" applyFill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/>
    <xf numFmtId="1" fontId="1" fillId="0" borderId="1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/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2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S45"/>
  <sheetViews>
    <sheetView topLeftCell="A13" workbookViewId="0">
      <selection activeCell="I31" sqref="A1:XFD1048576"/>
    </sheetView>
  </sheetViews>
  <sheetFormatPr defaultRowHeight="15" x14ac:dyDescent="0.25"/>
  <cols>
    <col min="2" max="2" width="10" bestFit="1" customWidth="1"/>
    <col min="3" max="3" width="9.5703125" bestFit="1" customWidth="1"/>
    <col min="4" max="4" width="12" bestFit="1" customWidth="1"/>
    <col min="5" max="6" width="13.5703125" bestFit="1" customWidth="1"/>
    <col min="7" max="8" width="9.140625" bestFit="1" customWidth="1"/>
    <col min="10" max="10" width="11.140625" customWidth="1"/>
    <col min="12" max="12" width="13.85546875" customWidth="1"/>
    <col min="14" max="14" width="14.140625" customWidth="1"/>
  </cols>
  <sheetData>
    <row r="4" spans="2:19" x14ac:dyDescent="0.25">
      <c r="B4" s="67" t="s">
        <v>0</v>
      </c>
      <c r="C4" s="67"/>
      <c r="D4" s="67"/>
      <c r="E4" s="67"/>
      <c r="F4" s="67"/>
      <c r="G4" s="67"/>
      <c r="H4" s="67"/>
      <c r="N4" s="1">
        <v>6.32</v>
      </c>
      <c r="O4" s="1">
        <v>6.32</v>
      </c>
      <c r="P4" s="1">
        <v>3.68</v>
      </c>
      <c r="Q4" s="1">
        <v>4.04</v>
      </c>
      <c r="R4" s="1">
        <v>5.76</v>
      </c>
      <c r="S4" s="1">
        <v>5.96</v>
      </c>
    </row>
    <row r="5" spans="2:19" x14ac:dyDescent="0.25">
      <c r="B5" s="3"/>
      <c r="C5" s="67" t="s">
        <v>5</v>
      </c>
      <c r="D5" s="67"/>
      <c r="E5" s="67"/>
      <c r="F5" s="67" t="s">
        <v>6</v>
      </c>
      <c r="G5" s="67"/>
      <c r="H5" s="67"/>
      <c r="N5" s="1">
        <v>6.6</v>
      </c>
      <c r="O5" s="1">
        <v>6.6</v>
      </c>
      <c r="P5" s="1">
        <v>5.76</v>
      </c>
      <c r="Q5" s="1">
        <v>5.92</v>
      </c>
      <c r="R5" s="1">
        <v>3.68</v>
      </c>
      <c r="S5" s="1">
        <v>4.08</v>
      </c>
    </row>
    <row r="6" spans="2:19" ht="30" x14ac:dyDescent="0.25">
      <c r="B6" s="5" t="s">
        <v>1</v>
      </c>
      <c r="C6" s="4" t="s">
        <v>2</v>
      </c>
      <c r="D6" s="4" t="s">
        <v>3</v>
      </c>
      <c r="E6" s="4" t="s">
        <v>4</v>
      </c>
      <c r="F6" s="4" t="s">
        <v>2</v>
      </c>
      <c r="G6" s="4" t="s">
        <v>3</v>
      </c>
      <c r="H6" s="4" t="s">
        <v>4</v>
      </c>
      <c r="N6" s="1">
        <v>6.72</v>
      </c>
      <c r="O6" s="1">
        <v>6.48</v>
      </c>
      <c r="P6" s="1">
        <v>5.92</v>
      </c>
      <c r="Q6" s="1">
        <v>4.08</v>
      </c>
      <c r="R6" s="1">
        <v>4.04</v>
      </c>
      <c r="S6" s="1">
        <v>3.64</v>
      </c>
    </row>
    <row r="7" spans="2:19" x14ac:dyDescent="0.25">
      <c r="B7" s="3" t="s">
        <v>7</v>
      </c>
      <c r="C7" s="1">
        <v>5000</v>
      </c>
      <c r="D7" s="1">
        <v>10</v>
      </c>
      <c r="E7" s="1">
        <v>5000</v>
      </c>
      <c r="F7" s="1">
        <v>1500</v>
      </c>
      <c r="G7" s="1">
        <v>20</v>
      </c>
      <c r="H7" s="1">
        <v>1000</v>
      </c>
      <c r="N7" s="1">
        <v>4.3600000000000003</v>
      </c>
      <c r="O7" s="1">
        <v>3.68</v>
      </c>
      <c r="P7" s="1">
        <v>6.32</v>
      </c>
      <c r="Q7" s="1">
        <v>6.32</v>
      </c>
      <c r="R7" s="1">
        <v>6.72</v>
      </c>
      <c r="S7" s="1">
        <v>6.6</v>
      </c>
    </row>
    <row r="8" spans="2:19" x14ac:dyDescent="0.25">
      <c r="B8" s="3" t="s">
        <v>10</v>
      </c>
      <c r="C8" s="1">
        <v>2200</v>
      </c>
      <c r="D8" s="1">
        <v>10</v>
      </c>
      <c r="E8" s="1">
        <v>2000</v>
      </c>
      <c r="F8" s="1">
        <v>1500</v>
      </c>
      <c r="G8" s="1">
        <v>20</v>
      </c>
      <c r="H8" s="1">
        <v>1000</v>
      </c>
    </row>
    <row r="9" spans="2:19" x14ac:dyDescent="0.25">
      <c r="B9" s="3" t="s">
        <v>8</v>
      </c>
      <c r="C9" s="1">
        <v>2200</v>
      </c>
      <c r="D9" s="1">
        <v>10</v>
      </c>
      <c r="E9" s="1">
        <v>2000</v>
      </c>
      <c r="F9" s="1">
        <v>1500</v>
      </c>
      <c r="G9" s="1">
        <v>20</v>
      </c>
      <c r="H9" s="1">
        <v>1000</v>
      </c>
    </row>
    <row r="10" spans="2:19" x14ac:dyDescent="0.25">
      <c r="B10" s="3" t="s">
        <v>9</v>
      </c>
      <c r="C10" s="1">
        <v>2200</v>
      </c>
      <c r="D10" s="1">
        <v>10</v>
      </c>
      <c r="E10" s="1">
        <v>2000</v>
      </c>
      <c r="F10" s="1">
        <v>1500</v>
      </c>
      <c r="G10" s="1">
        <v>20</v>
      </c>
      <c r="H10" s="1">
        <v>1000</v>
      </c>
    </row>
    <row r="11" spans="2:19" x14ac:dyDescent="0.25">
      <c r="B11" s="1"/>
      <c r="C11" s="1"/>
      <c r="D11" s="1"/>
      <c r="E11" s="1"/>
      <c r="F11" s="1"/>
      <c r="G11" s="1"/>
      <c r="H11" s="1"/>
    </row>
    <row r="15" spans="2:19" x14ac:dyDescent="0.25">
      <c r="B15" s="67" t="s">
        <v>11</v>
      </c>
      <c r="C15" s="67"/>
      <c r="D15" s="67"/>
      <c r="E15" s="67"/>
      <c r="F15" s="67"/>
      <c r="G15" s="67"/>
      <c r="H15" s="67"/>
      <c r="I15" s="2"/>
    </row>
    <row r="16" spans="2:19" x14ac:dyDescent="0.25">
      <c r="B16" s="3" t="s">
        <v>12</v>
      </c>
      <c r="C16" s="3" t="s">
        <v>13</v>
      </c>
      <c r="D16" s="3" t="s">
        <v>14</v>
      </c>
      <c r="E16" s="3" t="s">
        <v>15</v>
      </c>
      <c r="F16" s="3" t="s">
        <v>16</v>
      </c>
      <c r="G16" s="3" t="s">
        <v>17</v>
      </c>
      <c r="H16" s="3" t="s">
        <v>18</v>
      </c>
      <c r="I16" s="6" t="s">
        <v>19</v>
      </c>
    </row>
    <row r="17" spans="2:15" x14ac:dyDescent="0.25">
      <c r="B17" s="3" t="s">
        <v>5</v>
      </c>
      <c r="C17" s="1">
        <v>500</v>
      </c>
      <c r="D17" s="1">
        <v>700</v>
      </c>
      <c r="E17" s="1">
        <v>900</v>
      </c>
      <c r="F17" s="1">
        <v>800</v>
      </c>
      <c r="G17" s="1">
        <v>1000</v>
      </c>
      <c r="H17" s="1">
        <v>600</v>
      </c>
      <c r="I17" s="7">
        <f>SUM(C17:H17)</f>
        <v>4500</v>
      </c>
    </row>
    <row r="18" spans="2:15" x14ac:dyDescent="0.25">
      <c r="B18" s="3" t="s">
        <v>6</v>
      </c>
      <c r="C18" s="1">
        <v>50</v>
      </c>
      <c r="D18" s="1">
        <v>90</v>
      </c>
      <c r="E18" s="1">
        <v>120</v>
      </c>
      <c r="F18" s="1">
        <v>65</v>
      </c>
      <c r="G18" s="1">
        <v>120</v>
      </c>
      <c r="H18" s="1">
        <v>70</v>
      </c>
      <c r="I18" s="7">
        <f>SUM(C18:H18)</f>
        <v>515</v>
      </c>
    </row>
    <row r="21" spans="2:15" x14ac:dyDescent="0.25">
      <c r="B21" s="68" t="s">
        <v>20</v>
      </c>
      <c r="C21" s="68"/>
      <c r="D21" s="68"/>
      <c r="E21" s="68"/>
      <c r="F21" s="68"/>
      <c r="G21" s="68"/>
      <c r="H21" s="68"/>
      <c r="I21" s="9"/>
    </row>
    <row r="22" spans="2:15" x14ac:dyDescent="0.25">
      <c r="B22" s="1"/>
      <c r="C22" s="3" t="s">
        <v>13</v>
      </c>
      <c r="D22" s="3" t="s">
        <v>14</v>
      </c>
      <c r="E22" s="3" t="s">
        <v>15</v>
      </c>
      <c r="F22" s="3" t="s">
        <v>16</v>
      </c>
      <c r="G22" s="3" t="s">
        <v>17</v>
      </c>
      <c r="H22" s="3" t="s">
        <v>18</v>
      </c>
      <c r="I22" s="10"/>
    </row>
    <row r="23" spans="2:15" x14ac:dyDescent="0.25">
      <c r="B23" s="3" t="s">
        <v>7</v>
      </c>
      <c r="C23" s="1">
        <f t="shared" ref="C23:H26" si="0">N4*$O$27</f>
        <v>6.32</v>
      </c>
      <c r="D23" s="1">
        <f t="shared" si="0"/>
        <v>6.32</v>
      </c>
      <c r="E23" s="1">
        <f t="shared" si="0"/>
        <v>3.68</v>
      </c>
      <c r="F23" s="1">
        <f t="shared" si="0"/>
        <v>4.04</v>
      </c>
      <c r="G23" s="1">
        <f t="shared" si="0"/>
        <v>5.76</v>
      </c>
      <c r="H23" s="1">
        <f>S4*$O$27</f>
        <v>5.96</v>
      </c>
      <c r="I23" s="11"/>
    </row>
    <row r="24" spans="2:15" x14ac:dyDescent="0.25">
      <c r="B24" s="3" t="s">
        <v>10</v>
      </c>
      <c r="C24" s="1">
        <f t="shared" si="0"/>
        <v>6.6</v>
      </c>
      <c r="D24" s="1">
        <f t="shared" si="0"/>
        <v>6.6</v>
      </c>
      <c r="E24" s="1">
        <f t="shared" si="0"/>
        <v>5.76</v>
      </c>
      <c r="F24" s="1">
        <f t="shared" si="0"/>
        <v>5.92</v>
      </c>
      <c r="G24" s="1">
        <f t="shared" si="0"/>
        <v>3.68</v>
      </c>
      <c r="H24" s="1">
        <f t="shared" si="0"/>
        <v>4.08</v>
      </c>
      <c r="I24" s="11"/>
    </row>
    <row r="25" spans="2:15" x14ac:dyDescent="0.25">
      <c r="B25" s="3" t="s">
        <v>8</v>
      </c>
      <c r="C25" s="1">
        <f t="shared" si="0"/>
        <v>6.72</v>
      </c>
      <c r="D25" s="1">
        <f t="shared" si="0"/>
        <v>6.48</v>
      </c>
      <c r="E25" s="1">
        <f t="shared" si="0"/>
        <v>5.92</v>
      </c>
      <c r="F25" s="1">
        <f t="shared" si="0"/>
        <v>4.08</v>
      </c>
      <c r="G25" s="1">
        <f t="shared" si="0"/>
        <v>4.04</v>
      </c>
      <c r="H25" s="1">
        <f t="shared" si="0"/>
        <v>3.64</v>
      </c>
      <c r="I25" s="11"/>
    </row>
    <row r="26" spans="2:15" x14ac:dyDescent="0.25">
      <c r="B26" s="3" t="s">
        <v>9</v>
      </c>
      <c r="C26" s="1">
        <f t="shared" si="0"/>
        <v>4.3600000000000003</v>
      </c>
      <c r="D26" s="1">
        <f t="shared" si="0"/>
        <v>3.68</v>
      </c>
      <c r="E26" s="1">
        <f t="shared" si="0"/>
        <v>6.32</v>
      </c>
      <c r="F26" s="1">
        <f t="shared" si="0"/>
        <v>6.32</v>
      </c>
      <c r="G26" s="1">
        <f t="shared" si="0"/>
        <v>6.72</v>
      </c>
      <c r="H26" s="1">
        <f t="shared" si="0"/>
        <v>6.6</v>
      </c>
      <c r="I26" s="11"/>
    </row>
    <row r="27" spans="2:15" x14ac:dyDescent="0.25">
      <c r="N27" s="62" t="s">
        <v>21</v>
      </c>
      <c r="O27" s="63">
        <v>1</v>
      </c>
    </row>
    <row r="28" spans="2:15" x14ac:dyDescent="0.25">
      <c r="N28" s="62"/>
      <c r="O28" s="63"/>
    </row>
    <row r="29" spans="2:15" x14ac:dyDescent="0.25">
      <c r="B29" s="64" t="s">
        <v>22</v>
      </c>
      <c r="C29" s="65"/>
      <c r="D29" s="65"/>
      <c r="E29" s="65"/>
      <c r="F29" s="65"/>
      <c r="G29" s="65"/>
      <c r="H29" s="65"/>
      <c r="I29" s="65"/>
      <c r="J29" s="65"/>
      <c r="K29" s="65"/>
      <c r="L29" s="66"/>
    </row>
    <row r="30" spans="2:15" ht="30.75" thickBot="1" x14ac:dyDescent="0.3">
      <c r="B30" s="1"/>
      <c r="C30" s="16" t="s">
        <v>13</v>
      </c>
      <c r="D30" s="16" t="s">
        <v>14</v>
      </c>
      <c r="E30" s="16" t="s">
        <v>15</v>
      </c>
      <c r="F30" s="16" t="s">
        <v>16</v>
      </c>
      <c r="G30" s="16" t="s">
        <v>17</v>
      </c>
      <c r="H30" s="16" t="s">
        <v>18</v>
      </c>
      <c r="I30" s="13" t="s">
        <v>24</v>
      </c>
      <c r="J30" s="18" t="s">
        <v>25</v>
      </c>
      <c r="K30" s="4" t="s">
        <v>4</v>
      </c>
      <c r="L30" s="4" t="s">
        <v>2</v>
      </c>
    </row>
    <row r="31" spans="2:15" ht="15.75" thickBot="1" x14ac:dyDescent="0.3">
      <c r="B31" s="8" t="s">
        <v>7</v>
      </c>
      <c r="C31" s="21">
        <v>0</v>
      </c>
      <c r="D31" s="21">
        <v>0</v>
      </c>
      <c r="E31" s="21">
        <v>900</v>
      </c>
      <c r="F31" s="21">
        <v>799.99999999999977</v>
      </c>
      <c r="G31" s="21">
        <v>0</v>
      </c>
      <c r="H31" s="33">
        <v>0</v>
      </c>
      <c r="I31" s="22">
        <v>1</v>
      </c>
      <c r="J31" s="20">
        <f>I31*K31-SUM(C31:H31)</f>
        <v>3300</v>
      </c>
      <c r="K31" s="23">
        <v>5000</v>
      </c>
      <c r="L31" s="23">
        <v>5000</v>
      </c>
    </row>
    <row r="32" spans="2:15" ht="15.75" thickBot="1" x14ac:dyDescent="0.3">
      <c r="B32" s="8" t="s">
        <v>10</v>
      </c>
      <c r="C32" s="21">
        <v>0</v>
      </c>
      <c r="D32" s="21">
        <v>0</v>
      </c>
      <c r="E32" s="21">
        <v>0</v>
      </c>
      <c r="F32" s="21">
        <v>0</v>
      </c>
      <c r="G32" s="21">
        <v>999.99999999999989</v>
      </c>
      <c r="H32" s="34">
        <v>600.00000000000011</v>
      </c>
      <c r="I32" s="22">
        <v>1</v>
      </c>
      <c r="J32" s="20">
        <f t="shared" ref="J32:J34" si="1">I32*K32-SUM(C32:H32)</f>
        <v>400</v>
      </c>
      <c r="K32" s="23">
        <v>2000</v>
      </c>
      <c r="L32" s="23">
        <v>2200</v>
      </c>
    </row>
    <row r="33" spans="2:15" ht="15.75" thickBot="1" x14ac:dyDescent="0.3">
      <c r="B33" s="8" t="s">
        <v>8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34">
        <v>0</v>
      </c>
      <c r="I33" s="22">
        <v>0</v>
      </c>
      <c r="J33" s="20">
        <f t="shared" si="1"/>
        <v>0</v>
      </c>
      <c r="K33" s="23">
        <v>2000</v>
      </c>
      <c r="L33" s="23">
        <v>2200</v>
      </c>
    </row>
    <row r="34" spans="2:15" ht="15.75" thickBot="1" x14ac:dyDescent="0.3">
      <c r="B34" s="8" t="s">
        <v>9</v>
      </c>
      <c r="C34" s="32">
        <v>500</v>
      </c>
      <c r="D34" s="32">
        <v>700</v>
      </c>
      <c r="E34" s="32">
        <v>0</v>
      </c>
      <c r="F34" s="32">
        <v>0</v>
      </c>
      <c r="G34" s="32">
        <v>0</v>
      </c>
      <c r="H34" s="33">
        <v>0</v>
      </c>
      <c r="I34" s="22">
        <v>1</v>
      </c>
      <c r="J34" s="20">
        <f t="shared" si="1"/>
        <v>800</v>
      </c>
      <c r="K34" s="23">
        <v>2000</v>
      </c>
      <c r="L34" s="23">
        <v>2200</v>
      </c>
    </row>
    <row r="35" spans="2:15" ht="30" x14ac:dyDescent="0.25">
      <c r="B35" s="14" t="s">
        <v>26</v>
      </c>
      <c r="C35" s="29">
        <v>500</v>
      </c>
      <c r="D35" s="29">
        <v>700</v>
      </c>
      <c r="E35" s="29">
        <v>900</v>
      </c>
      <c r="F35" s="29">
        <v>800</v>
      </c>
      <c r="G35" s="29">
        <v>1000</v>
      </c>
      <c r="H35" s="29">
        <v>600</v>
      </c>
      <c r="I35" s="30"/>
      <c r="J35" s="23"/>
      <c r="K35" s="23"/>
      <c r="L35" s="23"/>
    </row>
    <row r="36" spans="2:15" x14ac:dyDescent="0.25">
      <c r="B36" s="17" t="s">
        <v>27</v>
      </c>
      <c r="C36" s="19">
        <f>C35-SUM(C31:C34)</f>
        <v>0</v>
      </c>
      <c r="D36" s="19">
        <f t="shared" ref="D36:H36" si="2">D35-SUM(D31:D34)</f>
        <v>0</v>
      </c>
      <c r="E36" s="19">
        <f t="shared" si="2"/>
        <v>0</v>
      </c>
      <c r="F36" s="19">
        <f t="shared" si="2"/>
        <v>0</v>
      </c>
      <c r="G36" s="19">
        <f t="shared" si="2"/>
        <v>0</v>
      </c>
      <c r="H36" s="19">
        <f t="shared" si="2"/>
        <v>0</v>
      </c>
      <c r="I36" s="23"/>
      <c r="J36" s="23"/>
      <c r="K36" s="23"/>
      <c r="L36" s="23"/>
    </row>
    <row r="37" spans="2:15" x14ac:dyDescent="0.25">
      <c r="N37" s="15" t="s">
        <v>29</v>
      </c>
      <c r="O37" s="35">
        <f>SUM(SUMPRODUCT(I40:I43,L40:L43),SUMPRODUCT(I31:I34,L31:L34),SUMPRODUCT(C23:H26,C31:H34),SUMPRODUCT(C23:H26,C40:H43))</f>
        <v>32189.8</v>
      </c>
    </row>
    <row r="38" spans="2:15" x14ac:dyDescent="0.25">
      <c r="B38" s="64" t="s">
        <v>23</v>
      </c>
      <c r="C38" s="65"/>
      <c r="D38" s="65"/>
      <c r="E38" s="65"/>
      <c r="F38" s="65"/>
      <c r="G38" s="65"/>
      <c r="H38" s="65"/>
      <c r="I38" s="65"/>
      <c r="J38" s="65"/>
      <c r="K38" s="65"/>
      <c r="L38" s="66"/>
    </row>
    <row r="39" spans="2:15" ht="30.75" thickBot="1" x14ac:dyDescent="0.3">
      <c r="B39" s="1"/>
      <c r="C39" s="16" t="s">
        <v>13</v>
      </c>
      <c r="D39" s="16" t="s">
        <v>14</v>
      </c>
      <c r="E39" s="16" t="s">
        <v>15</v>
      </c>
      <c r="F39" s="16" t="s">
        <v>16</v>
      </c>
      <c r="G39" s="16" t="s">
        <v>17</v>
      </c>
      <c r="H39" s="16" t="s">
        <v>18</v>
      </c>
      <c r="I39" s="13" t="s">
        <v>24</v>
      </c>
      <c r="J39" s="18" t="s">
        <v>25</v>
      </c>
      <c r="K39" s="4" t="s">
        <v>4</v>
      </c>
      <c r="L39" s="4" t="s">
        <v>2</v>
      </c>
    </row>
    <row r="40" spans="2:15" x14ac:dyDescent="0.25">
      <c r="B40" s="8" t="s">
        <v>7</v>
      </c>
      <c r="C40" s="21">
        <v>0</v>
      </c>
      <c r="D40" s="21">
        <v>0</v>
      </c>
      <c r="E40" s="21">
        <v>119.99999999999997</v>
      </c>
      <c r="F40" s="21">
        <v>65</v>
      </c>
      <c r="G40" s="21">
        <v>120</v>
      </c>
      <c r="H40" s="21">
        <v>69.999999999999986</v>
      </c>
      <c r="I40" s="31">
        <v>1</v>
      </c>
      <c r="J40" s="19">
        <f>I40*K40-SUM(C40:H40)</f>
        <v>625</v>
      </c>
      <c r="K40" s="23">
        <v>1000</v>
      </c>
      <c r="L40" s="23">
        <v>1500</v>
      </c>
    </row>
    <row r="41" spans="2:15" x14ac:dyDescent="0.25">
      <c r="B41" s="8" t="s">
        <v>10</v>
      </c>
      <c r="C41" s="24">
        <v>0</v>
      </c>
      <c r="D41" s="23">
        <v>0</v>
      </c>
      <c r="E41" s="23">
        <v>0</v>
      </c>
      <c r="F41" s="23">
        <v>0</v>
      </c>
      <c r="G41" s="23">
        <v>0</v>
      </c>
      <c r="H41" s="25">
        <v>0</v>
      </c>
      <c r="I41" s="31">
        <v>0</v>
      </c>
      <c r="J41" s="19">
        <f t="shared" ref="J41:J43" si="3">I41*K41-SUM(C41:H41)</f>
        <v>0</v>
      </c>
      <c r="K41" s="23">
        <v>1000</v>
      </c>
      <c r="L41" s="23">
        <v>1500</v>
      </c>
    </row>
    <row r="42" spans="2:15" x14ac:dyDescent="0.25">
      <c r="B42" s="8" t="s">
        <v>8</v>
      </c>
      <c r="C42" s="24">
        <v>1.1518563880485999E-15</v>
      </c>
      <c r="D42" s="23">
        <v>0</v>
      </c>
      <c r="E42" s="23">
        <v>0</v>
      </c>
      <c r="F42" s="23">
        <v>0</v>
      </c>
      <c r="G42" s="23">
        <v>0</v>
      </c>
      <c r="H42" s="25">
        <v>0</v>
      </c>
      <c r="I42" s="31">
        <v>0</v>
      </c>
      <c r="J42" s="19">
        <f t="shared" si="3"/>
        <v>-1.1518563880485999E-15</v>
      </c>
      <c r="K42" s="23">
        <v>1000</v>
      </c>
      <c r="L42" s="23">
        <v>1500</v>
      </c>
    </row>
    <row r="43" spans="2:15" ht="15.75" thickBot="1" x14ac:dyDescent="0.3">
      <c r="B43" s="8" t="s">
        <v>9</v>
      </c>
      <c r="C43" s="26">
        <v>50</v>
      </c>
      <c r="D43" s="27">
        <v>90.000000000000014</v>
      </c>
      <c r="E43" s="27">
        <v>0</v>
      </c>
      <c r="F43" s="27">
        <v>0</v>
      </c>
      <c r="G43" s="27">
        <v>-1.1830814106161824E-15</v>
      </c>
      <c r="H43" s="28">
        <v>0</v>
      </c>
      <c r="I43" s="31">
        <v>1</v>
      </c>
      <c r="J43" s="19">
        <f t="shared" si="3"/>
        <v>860</v>
      </c>
      <c r="K43" s="23">
        <v>1000</v>
      </c>
      <c r="L43" s="23">
        <v>1500</v>
      </c>
    </row>
    <row r="44" spans="2:15" ht="30" x14ac:dyDescent="0.25">
      <c r="B44" s="14" t="s">
        <v>28</v>
      </c>
      <c r="C44" s="29">
        <v>50</v>
      </c>
      <c r="D44" s="29">
        <v>90</v>
      </c>
      <c r="E44" s="29">
        <v>120</v>
      </c>
      <c r="F44" s="29">
        <v>65</v>
      </c>
      <c r="G44" s="29">
        <v>120</v>
      </c>
      <c r="H44" s="29">
        <v>70</v>
      </c>
      <c r="I44" s="30"/>
      <c r="J44" s="23"/>
      <c r="K44" s="23"/>
      <c r="L44" s="23"/>
    </row>
    <row r="45" spans="2:15" x14ac:dyDescent="0.25">
      <c r="B45" s="12" t="s">
        <v>27</v>
      </c>
      <c r="C45" s="19">
        <f>C44-SUM(C40:C43)</f>
        <v>0</v>
      </c>
      <c r="D45" s="19">
        <f t="shared" ref="D45:H45" si="4">D44-SUM(D40:D43)</f>
        <v>0</v>
      </c>
      <c r="E45" s="19">
        <f t="shared" si="4"/>
        <v>0</v>
      </c>
      <c r="F45" s="19">
        <f t="shared" si="4"/>
        <v>0</v>
      </c>
      <c r="G45" s="19">
        <f t="shared" si="4"/>
        <v>0</v>
      </c>
      <c r="H45" s="19">
        <f t="shared" si="4"/>
        <v>0</v>
      </c>
      <c r="I45" s="23"/>
      <c r="J45" s="23"/>
      <c r="K45" s="23"/>
      <c r="L45" s="23"/>
    </row>
  </sheetData>
  <mergeCells count="9">
    <mergeCell ref="B4:H4"/>
    <mergeCell ref="B15:H15"/>
    <mergeCell ref="B21:H21"/>
    <mergeCell ref="N27:N28"/>
    <mergeCell ref="O27:O28"/>
    <mergeCell ref="B29:L29"/>
    <mergeCell ref="B38:L38"/>
    <mergeCell ref="C5:E5"/>
    <mergeCell ref="F5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47"/>
  <sheetViews>
    <sheetView topLeftCell="A22" zoomScale="130" zoomScaleNormal="130" workbookViewId="0">
      <selection activeCell="I45" sqref="I45"/>
    </sheetView>
  </sheetViews>
  <sheetFormatPr defaultRowHeight="15" x14ac:dyDescent="0.25"/>
  <cols>
    <col min="2" max="2" width="9.85546875" bestFit="1" customWidth="1"/>
    <col min="3" max="4" width="9.7109375" bestFit="1" customWidth="1"/>
    <col min="5" max="5" width="13.85546875" bestFit="1" customWidth="1"/>
    <col min="6" max="6" width="13.7109375" bestFit="1" customWidth="1"/>
    <col min="7" max="8" width="9.28515625" bestFit="1" customWidth="1"/>
    <col min="9" max="9" width="6.5703125" bestFit="1" customWidth="1"/>
    <col min="10" max="10" width="8.7109375" style="38"/>
    <col min="13" max="13" width="19.5703125" bestFit="1" customWidth="1"/>
    <col min="16" max="16" width="9.7109375" bestFit="1" customWidth="1"/>
    <col min="17" max="17" width="11.85546875" bestFit="1" customWidth="1"/>
    <col min="18" max="18" width="17.28515625" bestFit="1" customWidth="1"/>
  </cols>
  <sheetData>
    <row r="2" spans="2:25" x14ac:dyDescent="0.25">
      <c r="B2" s="68" t="s">
        <v>11</v>
      </c>
      <c r="C2" s="68"/>
      <c r="D2" s="68"/>
      <c r="E2" s="68"/>
      <c r="F2" s="68"/>
      <c r="G2" s="68"/>
      <c r="H2" s="68"/>
      <c r="I2" s="2"/>
    </row>
    <row r="3" spans="2:25" x14ac:dyDescent="0.25"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6" t="s">
        <v>19</v>
      </c>
      <c r="S3" s="3" t="s">
        <v>7</v>
      </c>
      <c r="T3" s="2">
        <v>6.32</v>
      </c>
      <c r="U3" s="2">
        <v>6.32</v>
      </c>
      <c r="V3" s="2">
        <v>3.68</v>
      </c>
      <c r="W3" s="2">
        <v>4.04</v>
      </c>
      <c r="X3" s="2">
        <v>5.76</v>
      </c>
      <c r="Y3" s="2">
        <v>5.96</v>
      </c>
    </row>
    <row r="4" spans="2:25" x14ac:dyDescent="0.25">
      <c r="B4" s="3" t="s">
        <v>5</v>
      </c>
      <c r="C4" s="1">
        <v>500</v>
      </c>
      <c r="D4" s="1">
        <v>700</v>
      </c>
      <c r="E4" s="1">
        <v>900</v>
      </c>
      <c r="F4" s="1">
        <v>800</v>
      </c>
      <c r="G4" s="1">
        <v>1000</v>
      </c>
      <c r="H4" s="1">
        <v>600</v>
      </c>
      <c r="I4" s="7">
        <f>SUM(C4:H4)</f>
        <v>4500</v>
      </c>
      <c r="S4" s="3" t="s">
        <v>10</v>
      </c>
      <c r="T4" s="2">
        <v>6.6</v>
      </c>
      <c r="U4" s="2">
        <v>6.6</v>
      </c>
      <c r="V4" s="2">
        <v>5.76</v>
      </c>
      <c r="W4" s="2">
        <v>5.92</v>
      </c>
      <c r="X4" s="2">
        <v>3.68</v>
      </c>
      <c r="Y4" s="2">
        <v>4.08</v>
      </c>
    </row>
    <row r="5" spans="2:25" x14ac:dyDescent="0.25">
      <c r="B5" s="3" t="s">
        <v>6</v>
      </c>
      <c r="C5" s="1">
        <v>50</v>
      </c>
      <c r="D5" s="1">
        <v>90</v>
      </c>
      <c r="E5" s="1">
        <v>120</v>
      </c>
      <c r="F5" s="1">
        <v>65</v>
      </c>
      <c r="G5" s="1">
        <v>120</v>
      </c>
      <c r="H5" s="1">
        <v>70</v>
      </c>
      <c r="I5" s="7">
        <f>SUM(C5:H5)</f>
        <v>515</v>
      </c>
      <c r="S5" s="3" t="s">
        <v>8</v>
      </c>
      <c r="T5" s="2">
        <v>6.72</v>
      </c>
      <c r="U5" s="2">
        <v>6.48</v>
      </c>
      <c r="V5" s="2">
        <v>5.92</v>
      </c>
      <c r="W5" s="2">
        <v>4.08</v>
      </c>
      <c r="X5" s="2">
        <v>4.04</v>
      </c>
      <c r="Y5" s="2">
        <v>3.64</v>
      </c>
    </row>
    <row r="6" spans="2:25" x14ac:dyDescent="0.25">
      <c r="S6" s="3" t="s">
        <v>9</v>
      </c>
      <c r="T6" s="2">
        <v>4.3600000000000003</v>
      </c>
      <c r="U6" s="2">
        <v>3.68</v>
      </c>
      <c r="V6" s="2">
        <v>6.32</v>
      </c>
      <c r="W6" s="2">
        <v>6.32</v>
      </c>
      <c r="X6" s="2">
        <v>6.72</v>
      </c>
      <c r="Y6" s="2">
        <v>6.6</v>
      </c>
    </row>
    <row r="7" spans="2:25" x14ac:dyDescent="0.25">
      <c r="B7" s="69" t="s">
        <v>20</v>
      </c>
      <c r="C7" s="70"/>
      <c r="D7" s="70"/>
      <c r="E7" s="70"/>
      <c r="F7" s="70"/>
      <c r="G7" s="70"/>
      <c r="H7" s="71"/>
    </row>
    <row r="8" spans="2:25" x14ac:dyDescent="0.25">
      <c r="B8" s="1"/>
      <c r="C8" s="3" t="s">
        <v>13</v>
      </c>
      <c r="D8" s="3" t="s">
        <v>14</v>
      </c>
      <c r="E8" s="3" t="s">
        <v>15</v>
      </c>
      <c r="F8" s="3" t="s">
        <v>16</v>
      </c>
      <c r="G8" s="3" t="s">
        <v>17</v>
      </c>
      <c r="H8" s="3" t="s">
        <v>18</v>
      </c>
    </row>
    <row r="9" spans="2:25" x14ac:dyDescent="0.25">
      <c r="B9" s="3" t="s">
        <v>7</v>
      </c>
      <c r="C9" s="2">
        <f>$V$9*T3</f>
        <v>6.32</v>
      </c>
      <c r="D9" s="2">
        <f t="shared" ref="D9:H12" si="0">$V$9*U3</f>
        <v>6.32</v>
      </c>
      <c r="E9" s="2">
        <f t="shared" si="0"/>
        <v>3.68</v>
      </c>
      <c r="F9" s="2">
        <f t="shared" si="0"/>
        <v>4.04</v>
      </c>
      <c r="G9" s="2">
        <f t="shared" si="0"/>
        <v>5.76</v>
      </c>
      <c r="H9" s="2">
        <f t="shared" si="0"/>
        <v>5.96</v>
      </c>
      <c r="S9" s="37" t="s">
        <v>54</v>
      </c>
      <c r="V9" s="40">
        <v>1</v>
      </c>
    </row>
    <row r="10" spans="2:25" x14ac:dyDescent="0.25">
      <c r="B10" s="3" t="s">
        <v>10</v>
      </c>
      <c r="C10" s="2">
        <f t="shared" ref="C10:C12" si="1">$V$9*T4</f>
        <v>6.6</v>
      </c>
      <c r="D10" s="2">
        <f t="shared" si="0"/>
        <v>6.6</v>
      </c>
      <c r="E10" s="2">
        <f t="shared" si="0"/>
        <v>5.76</v>
      </c>
      <c r="F10" s="2">
        <f t="shared" si="0"/>
        <v>5.92</v>
      </c>
      <c r="G10" s="2">
        <f t="shared" si="0"/>
        <v>3.68</v>
      </c>
      <c r="H10" s="2">
        <f t="shared" si="0"/>
        <v>4.08</v>
      </c>
    </row>
    <row r="11" spans="2:25" x14ac:dyDescent="0.25">
      <c r="B11" s="3" t="s">
        <v>8</v>
      </c>
      <c r="C11" s="2">
        <f t="shared" si="1"/>
        <v>6.72</v>
      </c>
      <c r="D11" s="2">
        <f t="shared" si="0"/>
        <v>6.48</v>
      </c>
      <c r="E11" s="2">
        <f t="shared" si="0"/>
        <v>5.92</v>
      </c>
      <c r="F11" s="2">
        <f t="shared" si="0"/>
        <v>4.08</v>
      </c>
      <c r="G11" s="2">
        <f t="shared" si="0"/>
        <v>4.04</v>
      </c>
      <c r="H11" s="2">
        <f t="shared" si="0"/>
        <v>3.64</v>
      </c>
    </row>
    <row r="12" spans="2:25" x14ac:dyDescent="0.25">
      <c r="B12" s="3" t="s">
        <v>9</v>
      </c>
      <c r="C12" s="2">
        <f t="shared" si="1"/>
        <v>4.3600000000000003</v>
      </c>
      <c r="D12" s="2">
        <f t="shared" si="0"/>
        <v>3.68</v>
      </c>
      <c r="E12" s="2">
        <f t="shared" si="0"/>
        <v>6.32</v>
      </c>
      <c r="F12" s="2">
        <f t="shared" si="0"/>
        <v>6.32</v>
      </c>
      <c r="G12" s="2">
        <f t="shared" si="0"/>
        <v>6.72</v>
      </c>
      <c r="H12" s="2">
        <f t="shared" si="0"/>
        <v>6.6</v>
      </c>
    </row>
    <row r="14" spans="2:25" x14ac:dyDescent="0.25">
      <c r="B14" s="68" t="s">
        <v>0</v>
      </c>
      <c r="C14" s="68"/>
      <c r="D14" s="68"/>
      <c r="E14" s="68"/>
      <c r="F14" s="68"/>
      <c r="G14" s="68"/>
      <c r="H14" s="68"/>
    </row>
    <row r="15" spans="2:25" x14ac:dyDescent="0.25">
      <c r="B15" s="3"/>
      <c r="C15" s="67" t="s">
        <v>5</v>
      </c>
      <c r="D15" s="67"/>
      <c r="E15" s="67"/>
      <c r="F15" s="67" t="s">
        <v>6</v>
      </c>
      <c r="G15" s="67"/>
      <c r="H15" s="67"/>
    </row>
    <row r="16" spans="2:25" ht="30" x14ac:dyDescent="0.25">
      <c r="B16" s="5" t="s">
        <v>1</v>
      </c>
      <c r="C16" s="4" t="s">
        <v>2</v>
      </c>
      <c r="D16" s="4" t="s">
        <v>3</v>
      </c>
      <c r="E16" s="4" t="s">
        <v>4</v>
      </c>
      <c r="F16" s="4" t="s">
        <v>2</v>
      </c>
      <c r="G16" s="4" t="s">
        <v>3</v>
      </c>
      <c r="H16" s="4" t="s">
        <v>4</v>
      </c>
    </row>
    <row r="17" spans="2:18" x14ac:dyDescent="0.25">
      <c r="B17" s="3" t="s">
        <v>7</v>
      </c>
      <c r="C17" s="1">
        <v>5000</v>
      </c>
      <c r="D17" s="1">
        <v>10</v>
      </c>
      <c r="E17" s="1">
        <v>5000</v>
      </c>
      <c r="F17" s="1">
        <v>1500</v>
      </c>
      <c r="G17" s="1">
        <v>20</v>
      </c>
      <c r="H17" s="1">
        <v>1000</v>
      </c>
    </row>
    <row r="18" spans="2:18" x14ac:dyDescent="0.25">
      <c r="B18" s="3" t="s">
        <v>10</v>
      </c>
      <c r="C18" s="1">
        <v>2200</v>
      </c>
      <c r="D18" s="1">
        <v>10</v>
      </c>
      <c r="E18" s="1">
        <v>2000</v>
      </c>
      <c r="F18" s="1">
        <v>1500</v>
      </c>
      <c r="G18" s="1">
        <v>20</v>
      </c>
      <c r="H18" s="1">
        <v>1000</v>
      </c>
    </row>
    <row r="19" spans="2:18" x14ac:dyDescent="0.25">
      <c r="B19" s="3" t="s">
        <v>8</v>
      </c>
      <c r="C19" s="1">
        <v>2200</v>
      </c>
      <c r="D19" s="1">
        <v>10</v>
      </c>
      <c r="E19" s="1">
        <v>2000</v>
      </c>
      <c r="F19" s="1">
        <v>1500</v>
      </c>
      <c r="G19" s="1">
        <v>20</v>
      </c>
      <c r="H19" s="1">
        <v>1000</v>
      </c>
    </row>
    <row r="20" spans="2:18" x14ac:dyDescent="0.25">
      <c r="B20" s="3" t="s">
        <v>9</v>
      </c>
      <c r="C20" s="1">
        <v>2200</v>
      </c>
      <c r="D20" s="1">
        <v>10</v>
      </c>
      <c r="E20" s="1">
        <v>2000</v>
      </c>
      <c r="F20" s="1">
        <v>1500</v>
      </c>
      <c r="G20" s="1">
        <v>20</v>
      </c>
      <c r="H20" s="1">
        <v>1000</v>
      </c>
    </row>
    <row r="21" spans="2:18" x14ac:dyDescent="0.25">
      <c r="B21" s="1"/>
      <c r="C21" s="1"/>
      <c r="D21" s="1"/>
      <c r="E21" s="1"/>
      <c r="F21" s="1"/>
      <c r="G21" s="1"/>
      <c r="H21" s="1"/>
    </row>
    <row r="25" spans="2:18" x14ac:dyDescent="0.25">
      <c r="B25" s="69" t="s">
        <v>30</v>
      </c>
      <c r="C25" s="70"/>
      <c r="D25" s="70"/>
      <c r="E25" s="70"/>
      <c r="F25" s="70"/>
      <c r="G25" s="70"/>
      <c r="H25" s="71"/>
      <c r="I25" s="72" t="s">
        <v>69</v>
      </c>
      <c r="J25" s="74" t="s">
        <v>70</v>
      </c>
      <c r="K25" s="76" t="s">
        <v>19</v>
      </c>
    </row>
    <row r="26" spans="2:18" x14ac:dyDescent="0.25">
      <c r="B26" s="1"/>
      <c r="C26" s="3" t="s">
        <v>13</v>
      </c>
      <c r="D26" s="3" t="s">
        <v>14</v>
      </c>
      <c r="E26" s="3" t="s">
        <v>15</v>
      </c>
      <c r="F26" s="3" t="s">
        <v>16</v>
      </c>
      <c r="G26" s="3" t="s">
        <v>17</v>
      </c>
      <c r="H26" s="3" t="s">
        <v>18</v>
      </c>
      <c r="I26" s="73"/>
      <c r="J26" s="75"/>
      <c r="K26" s="76"/>
    </row>
    <row r="27" spans="2:18" x14ac:dyDescent="0.25">
      <c r="B27" s="3" t="s">
        <v>7</v>
      </c>
      <c r="C27" s="2">
        <f>C4*C9</f>
        <v>3160</v>
      </c>
      <c r="D27" s="2">
        <f t="shared" ref="D27:H27" si="2">D4*D9</f>
        <v>4424</v>
      </c>
      <c r="E27" s="2">
        <f>E4*E9</f>
        <v>3312</v>
      </c>
      <c r="F27" s="2">
        <f t="shared" si="2"/>
        <v>3232</v>
      </c>
      <c r="G27" s="2">
        <f t="shared" si="2"/>
        <v>5760</v>
      </c>
      <c r="H27" s="2">
        <f t="shared" si="2"/>
        <v>3576</v>
      </c>
      <c r="I27" s="50">
        <f>I4*D17</f>
        <v>45000</v>
      </c>
      <c r="J27" s="2">
        <f>C17</f>
        <v>5000</v>
      </c>
      <c r="K27" s="7">
        <f>SUM(C27:J27)</f>
        <v>73464</v>
      </c>
    </row>
    <row r="28" spans="2:18" x14ac:dyDescent="0.25">
      <c r="O28" s="39" t="s">
        <v>36</v>
      </c>
      <c r="P28" t="s">
        <v>40</v>
      </c>
      <c r="Q28" t="s">
        <v>41</v>
      </c>
      <c r="R28" t="s">
        <v>42</v>
      </c>
    </row>
    <row r="29" spans="2:18" x14ac:dyDescent="0.25">
      <c r="B29" s="69" t="s">
        <v>31</v>
      </c>
      <c r="C29" s="70"/>
      <c r="D29" s="70"/>
      <c r="E29" s="70"/>
      <c r="F29" s="70"/>
      <c r="G29" s="70"/>
      <c r="H29" s="71"/>
      <c r="I29" s="72" t="s">
        <v>69</v>
      </c>
      <c r="J29" s="74" t="s">
        <v>70</v>
      </c>
      <c r="K29" s="76" t="s">
        <v>19</v>
      </c>
      <c r="P29" s="38" t="s">
        <v>48</v>
      </c>
      <c r="Q29" s="38" t="s">
        <v>51</v>
      </c>
      <c r="R29" s="38" t="s">
        <v>50</v>
      </c>
    </row>
    <row r="30" spans="2:18" x14ac:dyDescent="0.25">
      <c r="B30" s="1"/>
      <c r="C30" s="3" t="s">
        <v>13</v>
      </c>
      <c r="D30" s="3" t="s">
        <v>14</v>
      </c>
      <c r="E30" s="3" t="s">
        <v>15</v>
      </c>
      <c r="F30" s="3" t="s">
        <v>16</v>
      </c>
      <c r="G30" s="3" t="s">
        <v>17</v>
      </c>
      <c r="H30" s="3" t="s">
        <v>18</v>
      </c>
      <c r="I30" s="73"/>
      <c r="J30" s="75"/>
      <c r="K30" s="76"/>
      <c r="O30" t="s">
        <v>43</v>
      </c>
    </row>
    <row r="31" spans="2:18" x14ac:dyDescent="0.25">
      <c r="B31" s="3" t="s">
        <v>7</v>
      </c>
      <c r="C31" s="2">
        <f>C5*C9</f>
        <v>316</v>
      </c>
      <c r="D31" s="2">
        <f t="shared" ref="D31:H31" si="3">D5*D9</f>
        <v>568.80000000000007</v>
      </c>
      <c r="E31" s="2">
        <f t="shared" si="3"/>
        <v>441.6</v>
      </c>
      <c r="F31" s="2">
        <f t="shared" si="3"/>
        <v>262.60000000000002</v>
      </c>
      <c r="G31" s="2">
        <f t="shared" si="3"/>
        <v>691.19999999999993</v>
      </c>
      <c r="H31" s="2">
        <f t="shared" si="3"/>
        <v>417.2</v>
      </c>
      <c r="I31" s="50">
        <f>I5*G17</f>
        <v>10300</v>
      </c>
      <c r="J31" s="2">
        <f>F17</f>
        <v>1500</v>
      </c>
      <c r="K31" s="30">
        <f>SUM(C31:J31)</f>
        <v>14497.4</v>
      </c>
    </row>
    <row r="32" spans="2:18" x14ac:dyDescent="0.25">
      <c r="O32" t="s">
        <v>44</v>
      </c>
    </row>
    <row r="33" spans="2:18" x14ac:dyDescent="0.25">
      <c r="H33" s="1" t="s">
        <v>32</v>
      </c>
      <c r="I33" s="23">
        <f>SUM(K27,K31)</f>
        <v>87961.4</v>
      </c>
    </row>
    <row r="34" spans="2:18" x14ac:dyDescent="0.25">
      <c r="P34" s="38" t="s">
        <v>52</v>
      </c>
      <c r="Q34" s="38" t="s">
        <v>38</v>
      </c>
      <c r="R34" s="38" t="s">
        <v>46</v>
      </c>
    </row>
    <row r="35" spans="2:18" x14ac:dyDescent="0.25">
      <c r="P35" s="38" t="s">
        <v>52</v>
      </c>
      <c r="Q35" s="38" t="s">
        <v>38</v>
      </c>
      <c r="R35" s="38" t="s">
        <v>47</v>
      </c>
    </row>
    <row r="36" spans="2:18" x14ac:dyDescent="0.25">
      <c r="P36" s="38" t="s">
        <v>45</v>
      </c>
      <c r="Q36" s="38" t="s">
        <v>39</v>
      </c>
      <c r="R36" s="38" t="s">
        <v>53</v>
      </c>
    </row>
    <row r="37" spans="2:18" x14ac:dyDescent="0.25">
      <c r="B37" s="69" t="s">
        <v>34</v>
      </c>
      <c r="C37" s="70"/>
      <c r="D37" s="70"/>
      <c r="E37" s="70"/>
      <c r="F37" s="70"/>
      <c r="G37" s="70"/>
      <c r="H37" s="71"/>
    </row>
    <row r="38" spans="2:18" x14ac:dyDescent="0.25">
      <c r="B38" s="1"/>
      <c r="C38" s="3" t="s">
        <v>13</v>
      </c>
      <c r="D38" s="3" t="s">
        <v>14</v>
      </c>
      <c r="E38" s="3" t="s">
        <v>15</v>
      </c>
      <c r="F38" s="3" t="s">
        <v>16</v>
      </c>
      <c r="G38" s="3" t="s">
        <v>17</v>
      </c>
      <c r="H38" s="3" t="s">
        <v>18</v>
      </c>
      <c r="I38" s="12" t="s">
        <v>33</v>
      </c>
      <c r="J38" s="6" t="s">
        <v>37</v>
      </c>
      <c r="L38" s="6" t="s">
        <v>4</v>
      </c>
      <c r="M38" s="3" t="s">
        <v>49</v>
      </c>
    </row>
    <row r="39" spans="2:18" x14ac:dyDescent="0.25">
      <c r="B39" s="3" t="s">
        <v>7</v>
      </c>
      <c r="C39" s="2">
        <v>0</v>
      </c>
      <c r="D39" s="2">
        <v>0</v>
      </c>
      <c r="E39" s="2">
        <v>900.00000000000011</v>
      </c>
      <c r="F39" s="2">
        <v>800</v>
      </c>
      <c r="G39" s="2">
        <v>0</v>
      </c>
      <c r="H39" s="2">
        <v>0</v>
      </c>
      <c r="I39" s="2">
        <v>1</v>
      </c>
      <c r="J39" s="2">
        <f>SUM(C39:H39)</f>
        <v>1700</v>
      </c>
      <c r="K39" s="38" t="s">
        <v>38</v>
      </c>
      <c r="L39" s="2">
        <v>5000</v>
      </c>
      <c r="M39" s="2">
        <f>I39*100000</f>
        <v>100000</v>
      </c>
    </row>
    <row r="40" spans="2:18" x14ac:dyDescent="0.25">
      <c r="B40" s="3" t="s">
        <v>10</v>
      </c>
      <c r="C40" s="2">
        <v>0</v>
      </c>
      <c r="D40" s="2">
        <v>0</v>
      </c>
      <c r="E40" s="2">
        <v>0</v>
      </c>
      <c r="F40" s="2">
        <v>0</v>
      </c>
      <c r="G40" s="2">
        <v>1000.0000000000001</v>
      </c>
      <c r="H40" s="2">
        <v>599.99999203668324</v>
      </c>
      <c r="I40" s="2">
        <v>1</v>
      </c>
      <c r="J40" s="2">
        <f t="shared" ref="J40:J41" si="4">SUM(C40:H40)</f>
        <v>1599.9999920366834</v>
      </c>
      <c r="K40" s="38" t="s">
        <v>38</v>
      </c>
      <c r="L40" s="2">
        <v>2000</v>
      </c>
      <c r="M40" s="2">
        <f t="shared" ref="M40:M42" si="5">I40*100000</f>
        <v>100000</v>
      </c>
    </row>
    <row r="41" spans="2:18" x14ac:dyDescent="0.25">
      <c r="B41" s="3" t="s">
        <v>8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f t="shared" si="4"/>
        <v>0</v>
      </c>
      <c r="K41" s="38" t="s">
        <v>38</v>
      </c>
      <c r="L41" s="2">
        <v>2000</v>
      </c>
      <c r="M41" s="2">
        <f t="shared" si="5"/>
        <v>0</v>
      </c>
    </row>
    <row r="42" spans="2:18" x14ac:dyDescent="0.25">
      <c r="B42" s="3" t="s">
        <v>9</v>
      </c>
      <c r="C42" s="2">
        <v>500</v>
      </c>
      <c r="D42" s="2">
        <v>700</v>
      </c>
      <c r="E42" s="2">
        <v>0</v>
      </c>
      <c r="F42" s="2">
        <v>0</v>
      </c>
      <c r="G42" s="2">
        <v>0</v>
      </c>
      <c r="H42" s="2">
        <v>0</v>
      </c>
      <c r="I42" s="2">
        <v>1</v>
      </c>
      <c r="J42" s="2">
        <f>SUM(C42:H42)</f>
        <v>1200</v>
      </c>
      <c r="K42" s="38" t="s">
        <v>38</v>
      </c>
      <c r="L42" s="2">
        <v>2000</v>
      </c>
      <c r="M42" s="2">
        <f t="shared" si="5"/>
        <v>100000</v>
      </c>
    </row>
    <row r="43" spans="2:18" x14ac:dyDescent="0.25">
      <c r="C43" s="2">
        <f>SUM(C39:C42)</f>
        <v>500</v>
      </c>
      <c r="D43" s="2">
        <f t="shared" ref="D43:H43" si="6">SUM(D39:D42)</f>
        <v>700</v>
      </c>
      <c r="E43" s="2">
        <f t="shared" si="6"/>
        <v>900.00000000000011</v>
      </c>
      <c r="F43" s="2">
        <f t="shared" si="6"/>
        <v>800</v>
      </c>
      <c r="G43" s="2">
        <f t="shared" si="6"/>
        <v>1000.0000000000001</v>
      </c>
      <c r="H43" s="2">
        <f t="shared" si="6"/>
        <v>599.99999203668324</v>
      </c>
    </row>
    <row r="44" spans="2:18" x14ac:dyDescent="0.25">
      <c r="C44" s="38" t="s">
        <v>39</v>
      </c>
      <c r="D44" s="38" t="s">
        <v>39</v>
      </c>
      <c r="E44" s="38" t="s">
        <v>39</v>
      </c>
      <c r="F44" s="38" t="s">
        <v>39</v>
      </c>
      <c r="G44" s="38" t="s">
        <v>39</v>
      </c>
      <c r="H44" s="38" t="s">
        <v>39</v>
      </c>
    </row>
    <row r="45" spans="2:18" x14ac:dyDescent="0.25">
      <c r="B45" s="6" t="s">
        <v>35</v>
      </c>
      <c r="C45" s="2">
        <v>500</v>
      </c>
      <c r="D45" s="2">
        <v>700</v>
      </c>
      <c r="E45" s="2">
        <v>900</v>
      </c>
      <c r="F45" s="2">
        <v>800</v>
      </c>
      <c r="G45" s="2">
        <v>1000</v>
      </c>
      <c r="H45" s="2">
        <v>600</v>
      </c>
    </row>
    <row r="47" spans="2:18" x14ac:dyDescent="0.25">
      <c r="B47" s="15" t="s">
        <v>36</v>
      </c>
      <c r="C47" s="2">
        <f>SUMPRODUCT(I39:I42,C17:C20)+SUMPRODUCT(C9:H12,C39:H42)+SUMPRODUCT(D17:D20,J39:J42)</f>
        <v>71827.999887876504</v>
      </c>
    </row>
  </sheetData>
  <mergeCells count="14">
    <mergeCell ref="I25:I26"/>
    <mergeCell ref="J25:J26"/>
    <mergeCell ref="K25:K26"/>
    <mergeCell ref="I29:I30"/>
    <mergeCell ref="J29:J30"/>
    <mergeCell ref="K29:K30"/>
    <mergeCell ref="B25:H25"/>
    <mergeCell ref="B29:H29"/>
    <mergeCell ref="B37:H37"/>
    <mergeCell ref="B2:H2"/>
    <mergeCell ref="B7:H7"/>
    <mergeCell ref="B14:H14"/>
    <mergeCell ref="C15:E15"/>
    <mergeCell ref="F15:H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47"/>
  <sheetViews>
    <sheetView topLeftCell="A13" workbookViewId="0">
      <selection activeCell="E45" sqref="E45:E47"/>
    </sheetView>
  </sheetViews>
  <sheetFormatPr defaultRowHeight="15" x14ac:dyDescent="0.25"/>
  <cols>
    <col min="2" max="2" width="9.85546875" bestFit="1" customWidth="1"/>
    <col min="3" max="4" width="9.7109375" bestFit="1" customWidth="1"/>
    <col min="5" max="5" width="13.85546875" bestFit="1" customWidth="1"/>
    <col min="6" max="6" width="13.7109375" bestFit="1" customWidth="1"/>
    <col min="7" max="8" width="9.28515625" bestFit="1" customWidth="1"/>
    <col min="9" max="9" width="5.85546875" bestFit="1" customWidth="1"/>
    <col min="10" max="10" width="8.7109375" style="38"/>
    <col min="13" max="13" width="21" bestFit="1" customWidth="1"/>
    <col min="16" max="16" width="9.7109375" bestFit="1" customWidth="1"/>
    <col min="17" max="17" width="11.85546875" bestFit="1" customWidth="1"/>
    <col min="18" max="18" width="17.28515625" bestFit="1" customWidth="1"/>
  </cols>
  <sheetData>
    <row r="2" spans="2:25" x14ac:dyDescent="0.25">
      <c r="B2" s="68" t="s">
        <v>11</v>
      </c>
      <c r="C2" s="68"/>
      <c r="D2" s="68"/>
      <c r="E2" s="68"/>
      <c r="F2" s="68"/>
      <c r="G2" s="68"/>
      <c r="H2" s="68"/>
      <c r="I2" s="2"/>
    </row>
    <row r="3" spans="2:25" x14ac:dyDescent="0.25"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6" t="s">
        <v>19</v>
      </c>
      <c r="S3" s="3" t="s">
        <v>7</v>
      </c>
      <c r="T3" s="2">
        <v>6.32</v>
      </c>
      <c r="U3" s="2">
        <v>6.32</v>
      </c>
      <c r="V3" s="2">
        <v>3.68</v>
      </c>
      <c r="W3" s="2">
        <v>4.04</v>
      </c>
      <c r="X3" s="2">
        <v>5.76</v>
      </c>
      <c r="Y3" s="2">
        <v>5.96</v>
      </c>
    </row>
    <row r="4" spans="2:25" x14ac:dyDescent="0.25">
      <c r="B4" s="3" t="s">
        <v>5</v>
      </c>
      <c r="C4" s="1">
        <v>500</v>
      </c>
      <c r="D4" s="1">
        <v>700</v>
      </c>
      <c r="E4" s="1">
        <v>900</v>
      </c>
      <c r="F4" s="1">
        <v>800</v>
      </c>
      <c r="G4" s="1">
        <v>1000</v>
      </c>
      <c r="H4" s="1">
        <v>600</v>
      </c>
      <c r="I4" s="7">
        <f>SUM(C4:H4)</f>
        <v>4500</v>
      </c>
      <c r="S4" s="3" t="s">
        <v>10</v>
      </c>
      <c r="T4" s="2">
        <v>6.6</v>
      </c>
      <c r="U4" s="2">
        <v>6.6</v>
      </c>
      <c r="V4" s="2">
        <v>5.76</v>
      </c>
      <c r="W4" s="2">
        <v>5.92</v>
      </c>
      <c r="X4" s="2">
        <v>3.68</v>
      </c>
      <c r="Y4" s="2">
        <v>4.08</v>
      </c>
    </row>
    <row r="5" spans="2:25" x14ac:dyDescent="0.25">
      <c r="B5" s="3" t="s">
        <v>6</v>
      </c>
      <c r="C5" s="1">
        <v>50</v>
      </c>
      <c r="D5" s="1">
        <v>90</v>
      </c>
      <c r="E5" s="1">
        <v>120</v>
      </c>
      <c r="F5" s="1">
        <v>65</v>
      </c>
      <c r="G5" s="1">
        <v>120</v>
      </c>
      <c r="H5" s="1">
        <v>70</v>
      </c>
      <c r="I5" s="7">
        <f>SUM(C5:H5)</f>
        <v>515</v>
      </c>
      <c r="S5" s="3" t="s">
        <v>8</v>
      </c>
      <c r="T5" s="2">
        <v>6.72</v>
      </c>
      <c r="U5" s="2">
        <v>6.48</v>
      </c>
      <c r="V5" s="2">
        <v>5.92</v>
      </c>
      <c r="W5" s="2">
        <v>4.08</v>
      </c>
      <c r="X5" s="2">
        <v>4.04</v>
      </c>
      <c r="Y5" s="2">
        <v>3.64</v>
      </c>
    </row>
    <row r="6" spans="2:25" x14ac:dyDescent="0.25">
      <c r="S6" s="3" t="s">
        <v>9</v>
      </c>
      <c r="T6" s="2">
        <v>4.3600000000000003</v>
      </c>
      <c r="U6" s="2">
        <v>3.68</v>
      </c>
      <c r="V6" s="2">
        <v>6.32</v>
      </c>
      <c r="W6" s="2">
        <v>6.32</v>
      </c>
      <c r="X6" s="2">
        <v>6.72</v>
      </c>
      <c r="Y6" s="2">
        <v>6.6</v>
      </c>
    </row>
    <row r="7" spans="2:25" x14ac:dyDescent="0.25">
      <c r="B7" s="69" t="s">
        <v>20</v>
      </c>
      <c r="C7" s="70"/>
      <c r="D7" s="70"/>
      <c r="E7" s="70"/>
      <c r="F7" s="70"/>
      <c r="G7" s="70"/>
      <c r="H7" s="71"/>
    </row>
    <row r="8" spans="2:25" x14ac:dyDescent="0.25">
      <c r="B8" s="1"/>
      <c r="C8" s="3" t="s">
        <v>13</v>
      </c>
      <c r="D8" s="3" t="s">
        <v>14</v>
      </c>
      <c r="E8" s="3" t="s">
        <v>15</v>
      </c>
      <c r="F8" s="3" t="s">
        <v>16</v>
      </c>
      <c r="G8" s="3" t="s">
        <v>17</v>
      </c>
      <c r="H8" s="3" t="s">
        <v>18</v>
      </c>
    </row>
    <row r="9" spans="2:25" x14ac:dyDescent="0.25">
      <c r="B9" s="3" t="s">
        <v>7</v>
      </c>
      <c r="C9" s="2">
        <f>$V$9*T3</f>
        <v>6.32</v>
      </c>
      <c r="D9" s="2">
        <f t="shared" ref="D9:H12" si="0">$V$9*U3</f>
        <v>6.32</v>
      </c>
      <c r="E9" s="2">
        <f t="shared" si="0"/>
        <v>3.68</v>
      </c>
      <c r="F9" s="2">
        <f t="shared" si="0"/>
        <v>4.04</v>
      </c>
      <c r="G9" s="2">
        <f t="shared" si="0"/>
        <v>5.76</v>
      </c>
      <c r="H9" s="2">
        <f t="shared" si="0"/>
        <v>5.96</v>
      </c>
      <c r="S9" s="37" t="s">
        <v>54</v>
      </c>
      <c r="V9" s="40">
        <v>1</v>
      </c>
    </row>
    <row r="10" spans="2:25" x14ac:dyDescent="0.25">
      <c r="B10" s="3" t="s">
        <v>10</v>
      </c>
      <c r="C10" s="2">
        <f t="shared" ref="C10:C12" si="1">$V$9*T4</f>
        <v>6.6</v>
      </c>
      <c r="D10" s="2">
        <f t="shared" si="0"/>
        <v>6.6</v>
      </c>
      <c r="E10" s="2">
        <f t="shared" si="0"/>
        <v>5.76</v>
      </c>
      <c r="F10" s="2">
        <f t="shared" si="0"/>
        <v>5.92</v>
      </c>
      <c r="G10" s="2">
        <f t="shared" si="0"/>
        <v>3.68</v>
      </c>
      <c r="H10" s="2">
        <f t="shared" si="0"/>
        <v>4.08</v>
      </c>
    </row>
    <row r="11" spans="2:25" x14ac:dyDescent="0.25">
      <c r="B11" s="3" t="s">
        <v>8</v>
      </c>
      <c r="C11" s="2">
        <f t="shared" si="1"/>
        <v>6.72</v>
      </c>
      <c r="D11" s="2">
        <f t="shared" si="0"/>
        <v>6.48</v>
      </c>
      <c r="E11" s="2">
        <f t="shared" si="0"/>
        <v>5.92</v>
      </c>
      <c r="F11" s="2">
        <f t="shared" si="0"/>
        <v>4.08</v>
      </c>
      <c r="G11" s="2">
        <f t="shared" si="0"/>
        <v>4.04</v>
      </c>
      <c r="H11" s="2">
        <f t="shared" si="0"/>
        <v>3.64</v>
      </c>
    </row>
    <row r="12" spans="2:25" x14ac:dyDescent="0.25">
      <c r="B12" s="3" t="s">
        <v>9</v>
      </c>
      <c r="C12" s="2">
        <f t="shared" si="1"/>
        <v>4.3600000000000003</v>
      </c>
      <c r="D12" s="2">
        <f t="shared" si="0"/>
        <v>3.68</v>
      </c>
      <c r="E12" s="2">
        <f t="shared" si="0"/>
        <v>6.32</v>
      </c>
      <c r="F12" s="2">
        <f t="shared" si="0"/>
        <v>6.32</v>
      </c>
      <c r="G12" s="2">
        <f t="shared" si="0"/>
        <v>6.72</v>
      </c>
      <c r="H12" s="2">
        <f t="shared" si="0"/>
        <v>6.6</v>
      </c>
    </row>
    <row r="14" spans="2:25" x14ac:dyDescent="0.25">
      <c r="B14" s="68" t="s">
        <v>0</v>
      </c>
      <c r="C14" s="68"/>
      <c r="D14" s="68"/>
      <c r="E14" s="68"/>
      <c r="F14" s="68"/>
      <c r="G14" s="68"/>
      <c r="H14" s="68"/>
    </row>
    <row r="15" spans="2:25" x14ac:dyDescent="0.25">
      <c r="B15" s="3"/>
      <c r="C15" s="67" t="s">
        <v>5</v>
      </c>
      <c r="D15" s="67"/>
      <c r="E15" s="67"/>
      <c r="F15" s="67" t="s">
        <v>6</v>
      </c>
      <c r="G15" s="67"/>
      <c r="H15" s="67"/>
    </row>
    <row r="16" spans="2:25" ht="30" x14ac:dyDescent="0.25">
      <c r="B16" s="5" t="s">
        <v>1</v>
      </c>
      <c r="C16" s="4" t="s">
        <v>2</v>
      </c>
      <c r="D16" s="4" t="s">
        <v>3</v>
      </c>
      <c r="E16" s="4" t="s">
        <v>4</v>
      </c>
      <c r="F16" s="4" t="s">
        <v>2</v>
      </c>
      <c r="G16" s="4" t="s">
        <v>3</v>
      </c>
      <c r="H16" s="4" t="s">
        <v>4</v>
      </c>
    </row>
    <row r="17" spans="2:18" x14ac:dyDescent="0.25">
      <c r="B17" s="3" t="s">
        <v>7</v>
      </c>
      <c r="C17" s="1">
        <v>5000</v>
      </c>
      <c r="D17" s="1">
        <v>10</v>
      </c>
      <c r="E17" s="1">
        <v>5000</v>
      </c>
      <c r="F17" s="1">
        <v>1500</v>
      </c>
      <c r="G17" s="1">
        <v>20</v>
      </c>
      <c r="H17" s="1">
        <v>1000</v>
      </c>
    </row>
    <row r="18" spans="2:18" x14ac:dyDescent="0.25">
      <c r="B18" s="3" t="s">
        <v>10</v>
      </c>
      <c r="C18" s="1">
        <v>2200</v>
      </c>
      <c r="D18" s="1">
        <v>10</v>
      </c>
      <c r="E18" s="1">
        <v>2000</v>
      </c>
      <c r="F18" s="1">
        <v>1500</v>
      </c>
      <c r="G18" s="1">
        <v>20</v>
      </c>
      <c r="H18" s="1">
        <v>1000</v>
      </c>
    </row>
    <row r="19" spans="2:18" x14ac:dyDescent="0.25">
      <c r="B19" s="3" t="s">
        <v>8</v>
      </c>
      <c r="C19" s="1">
        <v>2200</v>
      </c>
      <c r="D19" s="1">
        <v>10</v>
      </c>
      <c r="E19" s="1">
        <v>2000</v>
      </c>
      <c r="F19" s="1">
        <v>1500</v>
      </c>
      <c r="G19" s="1">
        <v>20</v>
      </c>
      <c r="H19" s="1">
        <v>1000</v>
      </c>
    </row>
    <row r="20" spans="2:18" x14ac:dyDescent="0.25">
      <c r="B20" s="3" t="s">
        <v>9</v>
      </c>
      <c r="C20" s="1">
        <v>2200</v>
      </c>
      <c r="D20" s="1">
        <v>10</v>
      </c>
      <c r="E20" s="1">
        <v>2000</v>
      </c>
      <c r="F20" s="1">
        <v>1500</v>
      </c>
      <c r="G20" s="1">
        <v>20</v>
      </c>
      <c r="H20" s="1">
        <v>1000</v>
      </c>
    </row>
    <row r="21" spans="2:18" x14ac:dyDescent="0.25">
      <c r="B21" s="1"/>
      <c r="C21" s="1"/>
      <c r="D21" s="1"/>
      <c r="E21" s="1"/>
      <c r="F21" s="1"/>
      <c r="G21" s="1"/>
      <c r="H21" s="1"/>
    </row>
    <row r="27" spans="2:18" x14ac:dyDescent="0.25">
      <c r="B27" s="69" t="s">
        <v>34</v>
      </c>
      <c r="C27" s="70"/>
      <c r="D27" s="70"/>
      <c r="E27" s="70"/>
      <c r="F27" s="70"/>
      <c r="G27" s="70"/>
      <c r="H27" s="71"/>
    </row>
    <row r="28" spans="2:18" x14ac:dyDescent="0.25">
      <c r="B28" s="1"/>
      <c r="C28" s="3" t="s">
        <v>13</v>
      </c>
      <c r="D28" s="3" t="s">
        <v>14</v>
      </c>
      <c r="E28" s="3" t="s">
        <v>15</v>
      </c>
      <c r="F28" s="3" t="s">
        <v>16</v>
      </c>
      <c r="G28" s="3" t="s">
        <v>17</v>
      </c>
      <c r="H28" s="3" t="s">
        <v>18</v>
      </c>
      <c r="I28" s="12" t="s">
        <v>33</v>
      </c>
      <c r="J28" s="6" t="s">
        <v>37</v>
      </c>
      <c r="L28" s="6" t="s">
        <v>4</v>
      </c>
      <c r="M28" s="3" t="s">
        <v>49</v>
      </c>
      <c r="O28" s="39" t="s">
        <v>36</v>
      </c>
      <c r="P28" t="s">
        <v>40</v>
      </c>
      <c r="Q28" t="s">
        <v>41</v>
      </c>
      <c r="R28" t="s">
        <v>42</v>
      </c>
    </row>
    <row r="29" spans="2:18" x14ac:dyDescent="0.25">
      <c r="B29" s="3" t="s">
        <v>7</v>
      </c>
      <c r="C29" s="2">
        <v>50</v>
      </c>
      <c r="D29" s="2">
        <v>90</v>
      </c>
      <c r="E29" s="2">
        <v>120</v>
      </c>
      <c r="F29" s="2">
        <v>65</v>
      </c>
      <c r="G29" s="2">
        <v>120</v>
      </c>
      <c r="H29" s="2">
        <v>70</v>
      </c>
      <c r="I29" s="2">
        <v>1</v>
      </c>
      <c r="J29" s="2">
        <f>SUM(C29:H29)</f>
        <v>515</v>
      </c>
      <c r="K29" s="38" t="s">
        <v>38</v>
      </c>
      <c r="L29" s="2">
        <v>1000</v>
      </c>
      <c r="M29" s="2">
        <f>I29*100000</f>
        <v>100000</v>
      </c>
      <c r="P29" s="38" t="s">
        <v>48</v>
      </c>
      <c r="Q29" s="38" t="s">
        <v>51</v>
      </c>
      <c r="R29" s="38" t="s">
        <v>50</v>
      </c>
    </row>
    <row r="30" spans="2:18" x14ac:dyDescent="0.25">
      <c r="B30" s="3" t="s">
        <v>10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f t="shared" ref="J30:J32" si="2">SUM(C30:H30)</f>
        <v>0</v>
      </c>
      <c r="K30" s="38" t="s">
        <v>38</v>
      </c>
      <c r="L30" s="2">
        <v>1000</v>
      </c>
      <c r="M30" s="2">
        <f t="shared" ref="M30:M32" si="3">I30*100000</f>
        <v>0</v>
      </c>
      <c r="O30" t="s">
        <v>43</v>
      </c>
    </row>
    <row r="31" spans="2:18" x14ac:dyDescent="0.25">
      <c r="B31" s="3" t="s">
        <v>8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f t="shared" si="2"/>
        <v>0</v>
      </c>
      <c r="K31" s="38" t="s">
        <v>38</v>
      </c>
      <c r="L31" s="2">
        <v>1000</v>
      </c>
      <c r="M31" s="2">
        <f t="shared" si="3"/>
        <v>0</v>
      </c>
    </row>
    <row r="32" spans="2:18" x14ac:dyDescent="0.25">
      <c r="B32" s="3" t="s">
        <v>9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f t="shared" si="2"/>
        <v>0</v>
      </c>
      <c r="K32" s="38" t="s">
        <v>38</v>
      </c>
      <c r="L32" s="2">
        <v>1000</v>
      </c>
      <c r="M32" s="2">
        <f t="shared" si="3"/>
        <v>0</v>
      </c>
      <c r="O32" t="s">
        <v>44</v>
      </c>
    </row>
    <row r="33" spans="2:18" x14ac:dyDescent="0.25">
      <c r="C33" s="2">
        <f>SUM(C29:C32)</f>
        <v>50</v>
      </c>
      <c r="D33" s="2">
        <f t="shared" ref="D33:H33" si="4">SUM(D29:D32)</f>
        <v>90</v>
      </c>
      <c r="E33" s="2">
        <f t="shared" si="4"/>
        <v>120</v>
      </c>
      <c r="F33" s="2">
        <f t="shared" si="4"/>
        <v>65</v>
      </c>
      <c r="G33" s="2">
        <f t="shared" si="4"/>
        <v>120</v>
      </c>
      <c r="H33" s="2">
        <f t="shared" si="4"/>
        <v>70</v>
      </c>
    </row>
    <row r="34" spans="2:18" x14ac:dyDescent="0.25">
      <c r="C34" s="38" t="s">
        <v>39</v>
      </c>
      <c r="D34" s="38" t="s">
        <v>39</v>
      </c>
      <c r="E34" s="38" t="s">
        <v>39</v>
      </c>
      <c r="F34" s="38" t="s">
        <v>39</v>
      </c>
      <c r="G34" s="38" t="s">
        <v>39</v>
      </c>
      <c r="H34" s="38" t="s">
        <v>39</v>
      </c>
      <c r="P34" s="38" t="s">
        <v>52</v>
      </c>
      <c r="Q34" s="38" t="s">
        <v>38</v>
      </c>
      <c r="R34" s="38" t="s">
        <v>46</v>
      </c>
    </row>
    <row r="35" spans="2:18" x14ac:dyDescent="0.25">
      <c r="B35" s="6" t="s">
        <v>35</v>
      </c>
      <c r="C35" s="2">
        <v>50</v>
      </c>
      <c r="D35" s="2">
        <v>90</v>
      </c>
      <c r="E35" s="2">
        <v>120</v>
      </c>
      <c r="F35" s="2">
        <v>65</v>
      </c>
      <c r="G35" s="2">
        <v>120</v>
      </c>
      <c r="H35" s="2">
        <v>70</v>
      </c>
      <c r="P35" s="38" t="s">
        <v>52</v>
      </c>
      <c r="Q35" s="38" t="s">
        <v>38</v>
      </c>
      <c r="R35" s="38" t="s">
        <v>47</v>
      </c>
    </row>
    <row r="36" spans="2:18" x14ac:dyDescent="0.25">
      <c r="P36" s="38" t="s">
        <v>45</v>
      </c>
      <c r="Q36" s="38" t="s">
        <v>39</v>
      </c>
      <c r="R36" s="38" t="s">
        <v>53</v>
      </c>
    </row>
    <row r="37" spans="2:18" x14ac:dyDescent="0.25">
      <c r="B37" s="15" t="s">
        <v>36</v>
      </c>
      <c r="C37" s="2">
        <f>SUMPRODUCT(I29:I32,F17:F20)+SUMPRODUCT(C9:H12,C29:H32)+SUMPRODUCT(G17:G20,J29:J32)</f>
        <v>14497.4</v>
      </c>
      <c r="E37">
        <v>70668</v>
      </c>
    </row>
    <row r="40" spans="2:18" x14ac:dyDescent="0.25">
      <c r="B40" s="52"/>
      <c r="C40" s="52" t="s">
        <v>5</v>
      </c>
      <c r="D40" s="52" t="s">
        <v>71</v>
      </c>
      <c r="E40" s="5" t="s">
        <v>74</v>
      </c>
    </row>
    <row r="41" spans="2:18" x14ac:dyDescent="0.25">
      <c r="B41" s="52" t="s">
        <v>73</v>
      </c>
      <c r="C41" s="2" t="s">
        <v>7</v>
      </c>
      <c r="D41" s="2" t="s">
        <v>7</v>
      </c>
      <c r="E41" s="55">
        <v>87961</v>
      </c>
    </row>
    <row r="42" spans="2:18" x14ac:dyDescent="0.25">
      <c r="B42" s="77" t="s">
        <v>72</v>
      </c>
      <c r="C42" s="2" t="s">
        <v>10</v>
      </c>
      <c r="D42" s="78" t="s">
        <v>10</v>
      </c>
      <c r="E42" s="78">
        <v>85195</v>
      </c>
    </row>
    <row r="43" spans="2:18" x14ac:dyDescent="0.25">
      <c r="B43" s="77"/>
      <c r="C43" s="2" t="s">
        <v>8</v>
      </c>
      <c r="D43" s="78"/>
      <c r="E43" s="78"/>
    </row>
    <row r="44" spans="2:18" x14ac:dyDescent="0.25">
      <c r="B44" s="77"/>
      <c r="C44" s="2" t="s">
        <v>9</v>
      </c>
      <c r="D44" s="78"/>
      <c r="E44" s="78"/>
    </row>
    <row r="45" spans="2:18" x14ac:dyDescent="0.25">
      <c r="B45" s="79" t="s">
        <v>75</v>
      </c>
      <c r="C45" s="55" t="s">
        <v>7</v>
      </c>
      <c r="D45" s="80" t="s">
        <v>7</v>
      </c>
      <c r="E45" s="78">
        <v>86325</v>
      </c>
    </row>
    <row r="46" spans="2:18" x14ac:dyDescent="0.25">
      <c r="B46" s="79"/>
      <c r="C46" s="55" t="s">
        <v>10</v>
      </c>
      <c r="D46" s="80"/>
      <c r="E46" s="78"/>
    </row>
    <row r="47" spans="2:18" x14ac:dyDescent="0.25">
      <c r="B47" s="79"/>
      <c r="C47" s="55" t="s">
        <v>9</v>
      </c>
      <c r="D47" s="80"/>
      <c r="E47" s="78"/>
    </row>
  </sheetData>
  <mergeCells count="12">
    <mergeCell ref="B27:H27"/>
    <mergeCell ref="B2:H2"/>
    <mergeCell ref="B7:H7"/>
    <mergeCell ref="B14:H14"/>
    <mergeCell ref="C15:E15"/>
    <mergeCell ref="F15:H15"/>
    <mergeCell ref="B42:B44"/>
    <mergeCell ref="D42:D44"/>
    <mergeCell ref="E42:E44"/>
    <mergeCell ref="B45:B47"/>
    <mergeCell ref="D45:D47"/>
    <mergeCell ref="E45:E4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59"/>
  <sheetViews>
    <sheetView topLeftCell="A28" workbookViewId="0">
      <selection activeCell="I59" sqref="I59"/>
    </sheetView>
  </sheetViews>
  <sheetFormatPr defaultRowHeight="15" x14ac:dyDescent="0.25"/>
  <cols>
    <col min="2" max="2" width="11.5703125" bestFit="1" customWidth="1"/>
    <col min="3" max="4" width="10.42578125" bestFit="1" customWidth="1"/>
    <col min="5" max="5" width="15" bestFit="1" customWidth="1"/>
    <col min="6" max="6" width="14.85546875" bestFit="1" customWidth="1"/>
    <col min="7" max="8" width="9.85546875" bestFit="1" customWidth="1"/>
    <col min="9" max="9" width="10.85546875" bestFit="1" customWidth="1"/>
    <col min="10" max="10" width="12.5703125" style="38" bestFit="1" customWidth="1"/>
    <col min="13" max="13" width="19.5703125" bestFit="1" customWidth="1"/>
    <col min="18" max="18" width="9.7109375" bestFit="1" customWidth="1"/>
    <col min="19" max="19" width="11.85546875" bestFit="1" customWidth="1"/>
    <col min="20" max="20" width="17.28515625" bestFit="1" customWidth="1"/>
  </cols>
  <sheetData>
    <row r="2" spans="2:27" x14ac:dyDescent="0.25">
      <c r="B2" s="68" t="s">
        <v>11</v>
      </c>
      <c r="C2" s="68"/>
      <c r="D2" s="68"/>
      <c r="E2" s="68"/>
      <c r="F2" s="68"/>
      <c r="G2" s="68"/>
      <c r="H2" s="68"/>
      <c r="I2" s="2"/>
    </row>
    <row r="3" spans="2:27" x14ac:dyDescent="0.25">
      <c r="B3" s="44" t="s">
        <v>12</v>
      </c>
      <c r="C3" s="44" t="s">
        <v>13</v>
      </c>
      <c r="D3" s="44" t="s">
        <v>14</v>
      </c>
      <c r="E3" s="44" t="s">
        <v>15</v>
      </c>
      <c r="F3" s="44" t="s">
        <v>16</v>
      </c>
      <c r="G3" s="44" t="s">
        <v>17</v>
      </c>
      <c r="H3" s="44" t="s">
        <v>18</v>
      </c>
      <c r="I3" s="45" t="s">
        <v>19</v>
      </c>
      <c r="U3" s="3" t="s">
        <v>7</v>
      </c>
      <c r="V3" s="2">
        <v>6.32</v>
      </c>
      <c r="W3" s="2">
        <v>6.32</v>
      </c>
      <c r="X3" s="2">
        <v>3.68</v>
      </c>
      <c r="Y3" s="2">
        <v>4.04</v>
      </c>
      <c r="Z3" s="2">
        <v>5.76</v>
      </c>
      <c r="AA3" s="2">
        <v>5.96</v>
      </c>
    </row>
    <row r="4" spans="2:27" s="38" customFormat="1" ht="15.75" x14ac:dyDescent="0.25">
      <c r="B4" s="44" t="s">
        <v>61</v>
      </c>
      <c r="C4" s="43">
        <v>320000</v>
      </c>
      <c r="D4" s="43">
        <v>200000</v>
      </c>
      <c r="E4" s="43">
        <v>160000</v>
      </c>
      <c r="F4" s="43">
        <v>220000</v>
      </c>
      <c r="G4" s="43">
        <v>350000</v>
      </c>
      <c r="H4" s="43">
        <v>175000</v>
      </c>
      <c r="I4" s="2">
        <f>SUM(C4:H4)</f>
        <v>1425000</v>
      </c>
      <c r="U4" s="36" t="s">
        <v>10</v>
      </c>
      <c r="V4" s="2">
        <v>6.6</v>
      </c>
      <c r="W4" s="2">
        <v>6.6</v>
      </c>
      <c r="X4" s="2">
        <v>5.76</v>
      </c>
      <c r="Y4" s="2">
        <v>5.92</v>
      </c>
      <c r="Z4" s="2">
        <v>3.68</v>
      </c>
      <c r="AA4" s="2">
        <v>4.08</v>
      </c>
    </row>
    <row r="5" spans="2:27" x14ac:dyDescent="0.25">
      <c r="U5" s="3" t="s">
        <v>9</v>
      </c>
      <c r="V5" s="2">
        <v>4.3600000000000003</v>
      </c>
      <c r="W5" s="2">
        <v>3.68</v>
      </c>
      <c r="X5" s="2">
        <v>6.32</v>
      </c>
      <c r="Y5" s="2">
        <v>6.32</v>
      </c>
      <c r="Z5" s="2">
        <v>6.72</v>
      </c>
      <c r="AA5" s="2">
        <v>6.6</v>
      </c>
    </row>
    <row r="6" spans="2:27" x14ac:dyDescent="0.25">
      <c r="B6" s="69" t="s">
        <v>20</v>
      </c>
      <c r="C6" s="70"/>
      <c r="D6" s="70"/>
      <c r="E6" s="70"/>
      <c r="F6" s="70"/>
      <c r="G6" s="70"/>
      <c r="H6" s="71"/>
    </row>
    <row r="7" spans="2:27" x14ac:dyDescent="0.25">
      <c r="B7" s="1"/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</row>
    <row r="8" spans="2:27" ht="15.75" x14ac:dyDescent="0.25">
      <c r="B8" s="42" t="s">
        <v>55</v>
      </c>
      <c r="C8" s="47">
        <v>2</v>
      </c>
      <c r="D8" s="47">
        <v>2.5</v>
      </c>
      <c r="E8" s="47">
        <v>3.5</v>
      </c>
      <c r="F8" s="47">
        <v>4</v>
      </c>
      <c r="G8" s="47">
        <v>5</v>
      </c>
      <c r="H8" s="47">
        <v>5.5</v>
      </c>
      <c r="U8" s="37" t="s">
        <v>54</v>
      </c>
      <c r="X8" s="40">
        <v>1</v>
      </c>
    </row>
    <row r="9" spans="2:27" ht="15.75" x14ac:dyDescent="0.25">
      <c r="B9" s="42" t="s">
        <v>56</v>
      </c>
      <c r="C9" s="47">
        <v>2.5</v>
      </c>
      <c r="D9" s="47">
        <v>2.5</v>
      </c>
      <c r="E9" s="47">
        <v>2.5</v>
      </c>
      <c r="F9" s="47">
        <v>3</v>
      </c>
      <c r="G9" s="47">
        <v>4</v>
      </c>
      <c r="H9" s="47">
        <v>4.5</v>
      </c>
    </row>
    <row r="10" spans="2:27" ht="15.75" x14ac:dyDescent="0.25">
      <c r="B10" s="42" t="s">
        <v>57</v>
      </c>
      <c r="C10" s="47">
        <v>3.5</v>
      </c>
      <c r="D10" s="47">
        <v>3.5</v>
      </c>
      <c r="E10" s="47">
        <v>2.5</v>
      </c>
      <c r="F10" s="47">
        <v>2.5</v>
      </c>
      <c r="G10" s="47">
        <v>3</v>
      </c>
      <c r="H10" s="47">
        <v>3.5</v>
      </c>
    </row>
    <row r="11" spans="2:27" ht="15.75" x14ac:dyDescent="0.25">
      <c r="B11" s="42" t="s">
        <v>8</v>
      </c>
      <c r="C11" s="47">
        <v>4</v>
      </c>
      <c r="D11" s="47">
        <v>4</v>
      </c>
      <c r="E11" s="47">
        <v>3</v>
      </c>
      <c r="F11" s="47">
        <v>2.5</v>
      </c>
      <c r="G11" s="47">
        <v>3</v>
      </c>
      <c r="H11" s="47">
        <v>2.5</v>
      </c>
    </row>
    <row r="12" spans="2:27" ht="15.75" x14ac:dyDescent="0.25">
      <c r="B12" s="42" t="s">
        <v>58</v>
      </c>
      <c r="C12" s="47">
        <v>4.5</v>
      </c>
      <c r="D12" s="47">
        <v>5</v>
      </c>
      <c r="E12" s="47">
        <v>3</v>
      </c>
      <c r="F12" s="47">
        <v>3.5</v>
      </c>
      <c r="G12" s="47">
        <v>2.5</v>
      </c>
      <c r="H12" s="47">
        <v>4</v>
      </c>
    </row>
    <row r="13" spans="2:27" ht="15.75" x14ac:dyDescent="0.25">
      <c r="B13" s="41"/>
    </row>
    <row r="14" spans="2:27" x14ac:dyDescent="0.25">
      <c r="B14" s="68" t="s">
        <v>0</v>
      </c>
      <c r="C14" s="68"/>
      <c r="D14" s="68"/>
      <c r="E14" s="68"/>
      <c r="F14" s="68"/>
      <c r="G14" s="68"/>
      <c r="H14" s="68"/>
    </row>
    <row r="15" spans="2:27" x14ac:dyDescent="0.25">
      <c r="B15" s="3"/>
      <c r="C15" s="67" t="s">
        <v>59</v>
      </c>
      <c r="D15" s="67"/>
      <c r="E15" s="67"/>
      <c r="F15" s="67" t="s">
        <v>60</v>
      </c>
      <c r="G15" s="67"/>
      <c r="H15" s="67"/>
    </row>
    <row r="16" spans="2:27" ht="30" x14ac:dyDescent="0.25">
      <c r="B16" s="5" t="s">
        <v>1</v>
      </c>
      <c r="C16" s="4" t="s">
        <v>2</v>
      </c>
      <c r="D16" s="4" t="s">
        <v>3</v>
      </c>
      <c r="E16" s="4" t="s">
        <v>4</v>
      </c>
      <c r="F16" s="4" t="s">
        <v>2</v>
      </c>
      <c r="G16" s="4" t="s">
        <v>3</v>
      </c>
      <c r="H16" s="4" t="s">
        <v>4</v>
      </c>
    </row>
    <row r="17" spans="2:20" ht="15.75" x14ac:dyDescent="0.25">
      <c r="B17" s="42" t="s">
        <v>55</v>
      </c>
      <c r="C17" s="1">
        <v>300000</v>
      </c>
      <c r="D17" s="1">
        <v>0.2</v>
      </c>
      <c r="E17" s="1">
        <v>2000</v>
      </c>
      <c r="F17" s="1">
        <v>500000</v>
      </c>
      <c r="G17" s="1">
        <v>0.2</v>
      </c>
      <c r="H17" s="1">
        <v>4000</v>
      </c>
    </row>
    <row r="18" spans="2:20" ht="15.75" x14ac:dyDescent="0.25">
      <c r="B18" s="42" t="s">
        <v>56</v>
      </c>
      <c r="C18" s="1">
        <v>250000</v>
      </c>
      <c r="D18" s="1">
        <v>0.2</v>
      </c>
      <c r="E18" s="1">
        <v>2000</v>
      </c>
      <c r="F18" s="1">
        <v>420000</v>
      </c>
      <c r="G18" s="1">
        <v>0.2</v>
      </c>
      <c r="H18" s="1">
        <v>4000</v>
      </c>
    </row>
    <row r="19" spans="2:20" ht="15.75" x14ac:dyDescent="0.25">
      <c r="B19" s="42" t="s">
        <v>57</v>
      </c>
      <c r="C19" s="1">
        <v>220000</v>
      </c>
      <c r="D19" s="1">
        <v>0.2</v>
      </c>
      <c r="E19" s="1">
        <v>2000</v>
      </c>
      <c r="F19" s="1">
        <v>375000</v>
      </c>
      <c r="G19" s="1">
        <v>0.2</v>
      </c>
      <c r="H19" s="1">
        <v>4000</v>
      </c>
    </row>
    <row r="20" spans="2:20" ht="15.75" x14ac:dyDescent="0.25">
      <c r="B20" s="42" t="s">
        <v>8</v>
      </c>
      <c r="C20" s="1">
        <v>220000</v>
      </c>
      <c r="D20" s="1">
        <v>0.2</v>
      </c>
      <c r="E20" s="1">
        <v>2000</v>
      </c>
      <c r="F20" s="1">
        <v>375000</v>
      </c>
      <c r="G20" s="1">
        <v>0.2</v>
      </c>
      <c r="H20" s="1">
        <v>4000</v>
      </c>
    </row>
    <row r="21" spans="2:20" ht="15.75" x14ac:dyDescent="0.25">
      <c r="B21" s="42" t="s">
        <v>58</v>
      </c>
      <c r="C21" s="1">
        <v>240000</v>
      </c>
      <c r="D21" s="1">
        <v>0.2</v>
      </c>
      <c r="E21" s="1">
        <v>2000</v>
      </c>
      <c r="F21" s="1">
        <v>400000</v>
      </c>
      <c r="G21" s="1">
        <v>0.2</v>
      </c>
      <c r="H21" s="1">
        <v>4000</v>
      </c>
    </row>
    <row r="25" spans="2:20" x14ac:dyDescent="0.25">
      <c r="B25" s="81" t="s">
        <v>64</v>
      </c>
      <c r="C25" s="82"/>
      <c r="D25" s="82"/>
      <c r="E25" s="82"/>
      <c r="F25" s="82"/>
      <c r="G25" s="82"/>
      <c r="H25" s="82"/>
      <c r="I25" s="82"/>
      <c r="J25" s="82"/>
      <c r="K25" s="82"/>
    </row>
    <row r="26" spans="2:20" x14ac:dyDescent="0.25">
      <c r="B26" s="1"/>
      <c r="C26" s="3" t="s">
        <v>13</v>
      </c>
      <c r="D26" s="3" t="s">
        <v>14</v>
      </c>
      <c r="E26" s="3" t="s">
        <v>15</v>
      </c>
      <c r="F26" s="3" t="s">
        <v>16</v>
      </c>
      <c r="G26" s="3" t="s">
        <v>17</v>
      </c>
      <c r="H26" s="3" t="s">
        <v>18</v>
      </c>
      <c r="I26" s="6" t="s">
        <v>63</v>
      </c>
      <c r="J26" s="36" t="s">
        <v>62</v>
      </c>
      <c r="K26" s="12" t="s">
        <v>32</v>
      </c>
    </row>
    <row r="27" spans="2:20" x14ac:dyDescent="0.25">
      <c r="B27" s="3" t="s">
        <v>57</v>
      </c>
      <c r="C27" s="2">
        <f>$D$19*C4+C4*C10</f>
        <v>1184000</v>
      </c>
      <c r="D27" s="2">
        <f>$D$19*D4+D4*D10</f>
        <v>740000</v>
      </c>
      <c r="E27" s="2">
        <f t="shared" ref="E27:H27" si="0">$D$19*E4+E4*E10</f>
        <v>432000</v>
      </c>
      <c r="F27" s="2">
        <f t="shared" si="0"/>
        <v>594000</v>
      </c>
      <c r="G27" s="2">
        <f t="shared" si="0"/>
        <v>1120000</v>
      </c>
      <c r="H27" s="2">
        <f t="shared" si="0"/>
        <v>647500</v>
      </c>
      <c r="I27" s="7">
        <f>C19</f>
        <v>220000</v>
      </c>
      <c r="J27" s="46">
        <f>475000+0.165*I4</f>
        <v>710125</v>
      </c>
      <c r="K27" s="23">
        <f>I27+J27+SUM(C27:H27)</f>
        <v>5647625</v>
      </c>
    </row>
    <row r="28" spans="2:20" x14ac:dyDescent="0.25">
      <c r="Q28" s="39" t="s">
        <v>36</v>
      </c>
      <c r="R28" t="s">
        <v>40</v>
      </c>
      <c r="S28" t="s">
        <v>41</v>
      </c>
      <c r="T28" t="s">
        <v>42</v>
      </c>
    </row>
    <row r="29" spans="2:20" x14ac:dyDescent="0.25">
      <c r="R29" s="38" t="s">
        <v>48</v>
      </c>
      <c r="S29" s="38" t="s">
        <v>51</v>
      </c>
      <c r="T29" s="38" t="s">
        <v>50</v>
      </c>
    </row>
    <row r="30" spans="2:20" x14ac:dyDescent="0.25">
      <c r="Q30" t="s">
        <v>43</v>
      </c>
    </row>
    <row r="31" spans="2:20" x14ac:dyDescent="0.25">
      <c r="B31" s="69" t="s">
        <v>66</v>
      </c>
      <c r="C31" s="70"/>
      <c r="D31" s="70"/>
      <c r="E31" s="70"/>
      <c r="F31" s="70"/>
      <c r="G31" s="70"/>
      <c r="H31" s="71"/>
    </row>
    <row r="32" spans="2:20" x14ac:dyDescent="0.25">
      <c r="B32" s="1"/>
      <c r="C32" s="3" t="s">
        <v>13</v>
      </c>
      <c r="D32" s="3" t="s">
        <v>14</v>
      </c>
      <c r="E32" s="3" t="s">
        <v>15</v>
      </c>
      <c r="F32" s="3" t="s">
        <v>16</v>
      </c>
      <c r="G32" s="3" t="s">
        <v>17</v>
      </c>
      <c r="H32" s="3" t="s">
        <v>18</v>
      </c>
      <c r="I32" s="6" t="s">
        <v>33</v>
      </c>
      <c r="J32" s="6" t="s">
        <v>37</v>
      </c>
      <c r="L32" s="6" t="s">
        <v>4</v>
      </c>
      <c r="M32" s="3" t="s">
        <v>49</v>
      </c>
      <c r="N32" s="1" t="s">
        <v>65</v>
      </c>
      <c r="Q32" t="s">
        <v>44</v>
      </c>
    </row>
    <row r="33" spans="2:20" ht="15.75" x14ac:dyDescent="0.25">
      <c r="B33" s="42" t="s">
        <v>55</v>
      </c>
      <c r="C33" s="46">
        <v>0</v>
      </c>
      <c r="D33" s="46">
        <v>0</v>
      </c>
      <c r="E33" s="46">
        <v>0</v>
      </c>
      <c r="F33" s="46">
        <v>0</v>
      </c>
      <c r="G33" s="46">
        <v>0</v>
      </c>
      <c r="H33" s="46">
        <v>0</v>
      </c>
      <c r="I33" s="2">
        <v>0</v>
      </c>
      <c r="J33" s="2">
        <f>SUM(C33:H33)</f>
        <v>0</v>
      </c>
      <c r="K33" s="38" t="s">
        <v>38</v>
      </c>
      <c r="L33" s="1">
        <v>2000000</v>
      </c>
      <c r="M33" s="2">
        <f>I33*10000000</f>
        <v>0</v>
      </c>
      <c r="N33" s="2">
        <f>475000*I33+0.165*J33</f>
        <v>0</v>
      </c>
    </row>
    <row r="34" spans="2:20" ht="15.75" x14ac:dyDescent="0.25">
      <c r="B34" s="42" t="s">
        <v>56</v>
      </c>
      <c r="C34" s="46">
        <v>320000</v>
      </c>
      <c r="D34" s="46">
        <v>200000.00000000012</v>
      </c>
      <c r="E34" s="46">
        <v>160000</v>
      </c>
      <c r="F34" s="46">
        <v>0</v>
      </c>
      <c r="G34" s="46">
        <v>175000.17499999999</v>
      </c>
      <c r="H34" s="46">
        <v>0</v>
      </c>
      <c r="I34" s="2">
        <v>1</v>
      </c>
      <c r="J34" s="2">
        <f t="shared" ref="J34:J37" si="1">SUM(C34:H34)</f>
        <v>855000.17500000005</v>
      </c>
      <c r="K34" s="38" t="s">
        <v>38</v>
      </c>
      <c r="L34" s="1">
        <v>2000000</v>
      </c>
      <c r="M34" s="2">
        <f t="shared" ref="M34:M37" si="2">I34*10000000</f>
        <v>10000000</v>
      </c>
      <c r="N34" s="2">
        <f t="shared" ref="N34:N36" si="3">475000*I34+0.165*J34</f>
        <v>616075.02887500008</v>
      </c>
      <c r="R34" s="38" t="s">
        <v>52</v>
      </c>
      <c r="S34" s="38" t="s">
        <v>38</v>
      </c>
      <c r="T34" s="38" t="s">
        <v>46</v>
      </c>
    </row>
    <row r="35" spans="2:20" ht="15.75" x14ac:dyDescent="0.25">
      <c r="B35" s="42" t="s">
        <v>57</v>
      </c>
      <c r="C35" s="46">
        <v>0</v>
      </c>
      <c r="D35" s="46">
        <v>0</v>
      </c>
      <c r="E35" s="46">
        <v>0</v>
      </c>
      <c r="F35" s="46">
        <v>0</v>
      </c>
      <c r="G35" s="46">
        <v>0</v>
      </c>
      <c r="H35" s="46">
        <v>0</v>
      </c>
      <c r="I35" s="2">
        <v>0</v>
      </c>
      <c r="J35" s="2">
        <f t="shared" si="1"/>
        <v>0</v>
      </c>
      <c r="K35" s="38" t="s">
        <v>38</v>
      </c>
      <c r="L35" s="1">
        <v>2000000</v>
      </c>
      <c r="M35" s="2">
        <f t="shared" si="2"/>
        <v>0</v>
      </c>
      <c r="N35" s="2">
        <f>475000*I35+0.165*J35</f>
        <v>0</v>
      </c>
      <c r="R35" s="38" t="s">
        <v>52</v>
      </c>
      <c r="S35" s="38" t="s">
        <v>38</v>
      </c>
      <c r="T35" s="38" t="s">
        <v>47</v>
      </c>
    </row>
    <row r="36" spans="2:20" ht="15.75" x14ac:dyDescent="0.25">
      <c r="B36" s="42" t="s">
        <v>8</v>
      </c>
      <c r="C36" s="46">
        <v>0</v>
      </c>
      <c r="D36" s="46">
        <v>0</v>
      </c>
      <c r="E36" s="46">
        <v>0</v>
      </c>
      <c r="F36" s="46">
        <v>220000.00000000015</v>
      </c>
      <c r="G36" s="46">
        <v>175000.17499999999</v>
      </c>
      <c r="H36" s="46">
        <v>175000</v>
      </c>
      <c r="I36" s="2">
        <v>1</v>
      </c>
      <c r="J36" s="2">
        <f t="shared" si="1"/>
        <v>570000.17500000016</v>
      </c>
      <c r="K36" s="38" t="s">
        <v>38</v>
      </c>
      <c r="L36" s="1">
        <v>2000000</v>
      </c>
      <c r="M36" s="2">
        <f t="shared" si="2"/>
        <v>10000000</v>
      </c>
      <c r="N36" s="2">
        <f t="shared" si="3"/>
        <v>569050.02887500008</v>
      </c>
      <c r="R36" s="38" t="s">
        <v>45</v>
      </c>
      <c r="S36" s="38" t="s">
        <v>39</v>
      </c>
      <c r="T36" s="38" t="s">
        <v>53</v>
      </c>
    </row>
    <row r="37" spans="2:20" ht="15.75" x14ac:dyDescent="0.25">
      <c r="B37" s="42" t="s">
        <v>58</v>
      </c>
      <c r="C37" s="46">
        <v>0</v>
      </c>
      <c r="D37" s="46">
        <v>0</v>
      </c>
      <c r="E37" s="46">
        <v>0</v>
      </c>
      <c r="F37" s="46">
        <v>0</v>
      </c>
      <c r="G37" s="46">
        <v>0</v>
      </c>
      <c r="H37" s="46">
        <v>0</v>
      </c>
      <c r="I37" s="2">
        <v>0</v>
      </c>
      <c r="J37" s="2">
        <f t="shared" si="1"/>
        <v>0</v>
      </c>
      <c r="K37" s="38" t="s">
        <v>38</v>
      </c>
      <c r="L37" s="1">
        <v>2000000</v>
      </c>
      <c r="M37" s="2">
        <f t="shared" si="2"/>
        <v>0</v>
      </c>
      <c r="N37" s="2">
        <f>475000*I37+0.165*J37</f>
        <v>0</v>
      </c>
      <c r="R37" s="38"/>
      <c r="S37" s="38"/>
      <c r="T37" s="38"/>
    </row>
    <row r="38" spans="2:20" x14ac:dyDescent="0.25">
      <c r="C38" s="51">
        <f>SUM(C33:C37)</f>
        <v>320000</v>
      </c>
      <c r="D38" s="51">
        <f t="shared" ref="D38:G38" si="4">SUM(D33:D37)</f>
        <v>200000.00000000012</v>
      </c>
      <c r="E38" s="51">
        <f t="shared" si="4"/>
        <v>160000</v>
      </c>
      <c r="F38" s="51">
        <f t="shared" si="4"/>
        <v>220000.00000000015</v>
      </c>
      <c r="G38" s="51">
        <f t="shared" si="4"/>
        <v>350000.35</v>
      </c>
      <c r="H38" s="51">
        <f>SUM(H33:H37)</f>
        <v>175000</v>
      </c>
      <c r="I38" s="49"/>
      <c r="M38" s="2" t="s">
        <v>19</v>
      </c>
      <c r="N38" s="50">
        <f>SUM(N33:N37)</f>
        <v>1185125.0577500002</v>
      </c>
    </row>
    <row r="39" spans="2:20" x14ac:dyDescent="0.25">
      <c r="C39" s="38" t="s">
        <v>39</v>
      </c>
      <c r="D39" s="38" t="s">
        <v>39</v>
      </c>
      <c r="E39" s="38" t="s">
        <v>39</v>
      </c>
      <c r="F39" s="38" t="s">
        <v>39</v>
      </c>
      <c r="G39" s="38" t="s">
        <v>39</v>
      </c>
      <c r="H39" s="38" t="s">
        <v>39</v>
      </c>
    </row>
    <row r="40" spans="2:20" ht="15.75" x14ac:dyDescent="0.25">
      <c r="B40" s="6" t="s">
        <v>35</v>
      </c>
      <c r="C40" s="43">
        <v>320000</v>
      </c>
      <c r="D40" s="43">
        <v>200000</v>
      </c>
      <c r="E40" s="43">
        <v>160000</v>
      </c>
      <c r="F40" s="43">
        <v>220000</v>
      </c>
      <c r="G40" s="43">
        <v>350000</v>
      </c>
      <c r="H40" s="43">
        <v>175000</v>
      </c>
    </row>
    <row r="42" spans="2:20" x14ac:dyDescent="0.25">
      <c r="B42" s="15" t="s">
        <v>36</v>
      </c>
      <c r="C42" s="46">
        <f>SUMPRODUCT(I33:I37,C17:C21)+SUMPRODUCT(C8:H12,C33:H37)+N38</f>
        <v>5567626.2827500012</v>
      </c>
    </row>
    <row r="45" spans="2:20" x14ac:dyDescent="0.25">
      <c r="B45" s="69" t="s">
        <v>67</v>
      </c>
      <c r="C45" s="70"/>
      <c r="D45" s="70"/>
      <c r="E45" s="70"/>
      <c r="F45" s="70"/>
      <c r="G45" s="70"/>
      <c r="H45" s="71"/>
    </row>
    <row r="46" spans="2:20" x14ac:dyDescent="0.25">
      <c r="B46" s="1"/>
      <c r="C46" s="3" t="s">
        <v>13</v>
      </c>
      <c r="D46" s="3" t="s">
        <v>14</v>
      </c>
      <c r="E46" s="3" t="s">
        <v>15</v>
      </c>
      <c r="F46" s="3" t="s">
        <v>16</v>
      </c>
      <c r="G46" s="3" t="s">
        <v>17</v>
      </c>
      <c r="H46" s="3" t="s">
        <v>18</v>
      </c>
      <c r="I46" s="12" t="s">
        <v>33</v>
      </c>
      <c r="J46" s="6" t="s">
        <v>37</v>
      </c>
      <c r="L46" s="6" t="s">
        <v>4</v>
      </c>
      <c r="M46" s="3" t="s">
        <v>49</v>
      </c>
      <c r="N46" s="1" t="s">
        <v>65</v>
      </c>
      <c r="Q46" t="s">
        <v>44</v>
      </c>
    </row>
    <row r="47" spans="2:20" ht="15.75" x14ac:dyDescent="0.25">
      <c r="B47" s="42" t="s">
        <v>55</v>
      </c>
      <c r="C47" s="46">
        <v>0</v>
      </c>
      <c r="D47" s="46">
        <v>0</v>
      </c>
      <c r="E47" s="46">
        <v>0</v>
      </c>
      <c r="F47" s="46">
        <v>0</v>
      </c>
      <c r="G47" s="46">
        <v>0</v>
      </c>
      <c r="H47" s="46">
        <v>0</v>
      </c>
      <c r="I47" s="2">
        <v>0</v>
      </c>
      <c r="J47" s="46">
        <f>SUM(C47:H47)</f>
        <v>0</v>
      </c>
      <c r="K47" s="38" t="s">
        <v>38</v>
      </c>
      <c r="L47" s="1">
        <v>4000000</v>
      </c>
      <c r="M47" s="2">
        <f t="shared" ref="M47:M48" si="5">I47*10000000</f>
        <v>0</v>
      </c>
      <c r="N47" s="2">
        <f>475000*I47+0.165*J47</f>
        <v>0</v>
      </c>
    </row>
    <row r="48" spans="2:20" ht="15.75" x14ac:dyDescent="0.25">
      <c r="B48" s="42" t="s">
        <v>56</v>
      </c>
      <c r="C48" s="46">
        <v>320000</v>
      </c>
      <c r="D48" s="46">
        <v>200000.00000000006</v>
      </c>
      <c r="E48" s="46">
        <v>160000</v>
      </c>
      <c r="F48" s="46">
        <v>220000.00000000003</v>
      </c>
      <c r="G48" s="46">
        <v>349999.99999999924</v>
      </c>
      <c r="H48" s="46">
        <v>175000</v>
      </c>
      <c r="I48" s="2">
        <v>1</v>
      </c>
      <c r="J48" s="2">
        <f t="shared" ref="J48:J51" si="6">SUM(C48:H48)</f>
        <v>1424999.9999999993</v>
      </c>
      <c r="K48" s="38" t="s">
        <v>38</v>
      </c>
      <c r="L48" s="1">
        <v>4000000</v>
      </c>
      <c r="M48" s="2">
        <f t="shared" si="5"/>
        <v>10000000</v>
      </c>
      <c r="N48" s="2">
        <f t="shared" ref="N48" si="7">475000*I48+0.165*J48</f>
        <v>710124.99999999988</v>
      </c>
      <c r="R48" s="38" t="s">
        <v>52</v>
      </c>
      <c r="S48" s="38" t="s">
        <v>38</v>
      </c>
      <c r="T48" s="38" t="s">
        <v>46</v>
      </c>
    </row>
    <row r="49" spans="2:20" ht="15.75" x14ac:dyDescent="0.25">
      <c r="B49" s="42" t="s">
        <v>57</v>
      </c>
      <c r="C49" s="46">
        <v>0</v>
      </c>
      <c r="D49" s="46">
        <v>0</v>
      </c>
      <c r="E49" s="46">
        <v>0</v>
      </c>
      <c r="F49" s="46">
        <v>0</v>
      </c>
      <c r="G49" s="46">
        <v>0</v>
      </c>
      <c r="H49" s="46">
        <v>0</v>
      </c>
      <c r="I49" s="2">
        <v>0</v>
      </c>
      <c r="J49" s="2">
        <f t="shared" si="6"/>
        <v>0</v>
      </c>
      <c r="K49" s="38" t="s">
        <v>38</v>
      </c>
      <c r="L49" s="1">
        <v>4000000</v>
      </c>
      <c r="M49" s="2">
        <f>I49*10000000</f>
        <v>0</v>
      </c>
      <c r="N49" s="2">
        <f>475000*I49+0.165*J49</f>
        <v>0</v>
      </c>
      <c r="R49" s="38" t="s">
        <v>52</v>
      </c>
      <c r="S49" s="38" t="s">
        <v>38</v>
      </c>
      <c r="T49" s="38" t="s">
        <v>47</v>
      </c>
    </row>
    <row r="50" spans="2:20" ht="15.75" x14ac:dyDescent="0.25">
      <c r="B50" s="42" t="s">
        <v>8</v>
      </c>
      <c r="C50" s="46">
        <v>0</v>
      </c>
      <c r="D50" s="46">
        <v>0</v>
      </c>
      <c r="E50" s="46">
        <v>0</v>
      </c>
      <c r="F50" s="46">
        <v>0</v>
      </c>
      <c r="G50" s="46">
        <v>0</v>
      </c>
      <c r="H50" s="46">
        <v>0</v>
      </c>
      <c r="I50" s="2">
        <v>0</v>
      </c>
      <c r="J50" s="2">
        <f t="shared" si="6"/>
        <v>0</v>
      </c>
      <c r="K50" s="38" t="s">
        <v>38</v>
      </c>
      <c r="L50" s="1">
        <v>4000000</v>
      </c>
      <c r="M50" s="2">
        <f t="shared" ref="M50:M51" si="8">I50*10000000</f>
        <v>0</v>
      </c>
      <c r="N50" s="2">
        <f t="shared" ref="N50" si="9">475000*I50+0.165*J50</f>
        <v>0</v>
      </c>
      <c r="R50" s="38" t="s">
        <v>45</v>
      </c>
      <c r="S50" s="38" t="s">
        <v>39</v>
      </c>
      <c r="T50" s="38" t="s">
        <v>53</v>
      </c>
    </row>
    <row r="51" spans="2:20" ht="15.75" x14ac:dyDescent="0.25">
      <c r="B51" s="42" t="s">
        <v>58</v>
      </c>
      <c r="C51" s="46">
        <v>0</v>
      </c>
      <c r="D51" s="46">
        <v>0</v>
      </c>
      <c r="E51" s="46">
        <v>0</v>
      </c>
      <c r="F51" s="46">
        <v>0</v>
      </c>
      <c r="G51" s="46">
        <v>0</v>
      </c>
      <c r="H51" s="46">
        <v>0</v>
      </c>
      <c r="I51" s="2">
        <v>0</v>
      </c>
      <c r="J51" s="2">
        <f t="shared" si="6"/>
        <v>0</v>
      </c>
      <c r="K51" s="38" t="s">
        <v>38</v>
      </c>
      <c r="L51" s="1">
        <v>4000000</v>
      </c>
      <c r="M51" s="2">
        <f t="shared" si="8"/>
        <v>0</v>
      </c>
      <c r="N51" s="2">
        <f>475000*I51+0.165*J51</f>
        <v>0</v>
      </c>
      <c r="R51" s="38"/>
      <c r="S51" s="38"/>
      <c r="T51" s="38"/>
    </row>
    <row r="52" spans="2:20" x14ac:dyDescent="0.25">
      <c r="C52" s="51">
        <f>SUM(C47:C51)</f>
        <v>320000</v>
      </c>
      <c r="D52" s="51">
        <f t="shared" ref="D52" si="10">SUM(D47:D51)</f>
        <v>200000.00000000006</v>
      </c>
      <c r="E52" s="51">
        <f t="shared" ref="E52" si="11">SUM(E47:E51)</f>
        <v>160000</v>
      </c>
      <c r="F52" s="51">
        <f t="shared" ref="F52" si="12">SUM(F47:F51)</f>
        <v>220000.00000000003</v>
      </c>
      <c r="G52" s="51">
        <f t="shared" ref="G52" si="13">SUM(G47:G51)</f>
        <v>349999.99999999924</v>
      </c>
      <c r="H52" s="51">
        <f>SUM(H47:H51)</f>
        <v>175000</v>
      </c>
      <c r="I52" s="49"/>
      <c r="M52" s="2" t="s">
        <v>19</v>
      </c>
      <c r="N52" s="50">
        <f>SUM(N47:N51)</f>
        <v>710124.99999999988</v>
      </c>
    </row>
    <row r="53" spans="2:20" x14ac:dyDescent="0.25">
      <c r="C53" s="38" t="s">
        <v>39</v>
      </c>
      <c r="D53" s="38" t="s">
        <v>39</v>
      </c>
      <c r="E53" s="38" t="s">
        <v>39</v>
      </c>
      <c r="F53" s="38" t="s">
        <v>39</v>
      </c>
      <c r="G53" s="38" t="s">
        <v>39</v>
      </c>
      <c r="H53" s="38" t="s">
        <v>39</v>
      </c>
    </row>
    <row r="54" spans="2:20" ht="15.75" x14ac:dyDescent="0.25">
      <c r="B54" s="6" t="s">
        <v>35</v>
      </c>
      <c r="C54" s="43">
        <v>320000</v>
      </c>
      <c r="D54" s="43">
        <v>200000</v>
      </c>
      <c r="E54" s="43">
        <v>160000</v>
      </c>
      <c r="F54" s="43">
        <v>220000</v>
      </c>
      <c r="G54" s="43">
        <v>350000</v>
      </c>
      <c r="H54" s="43">
        <v>175000</v>
      </c>
    </row>
    <row r="56" spans="2:20" x14ac:dyDescent="0.25">
      <c r="B56" s="15" t="s">
        <v>36</v>
      </c>
      <c r="C56" s="46">
        <f>SUMPRODUCT(I47:I51,F17:F21)+SUMPRODUCT(C8:H12,C47:H51)+N52</f>
        <v>5677624.9999999972</v>
      </c>
    </row>
    <row r="59" spans="2:20" x14ac:dyDescent="0.25">
      <c r="B59" t="s">
        <v>68</v>
      </c>
      <c r="C59" s="48">
        <f>C56+C42</f>
        <v>11245251.282749999</v>
      </c>
    </row>
  </sheetData>
  <mergeCells count="8">
    <mergeCell ref="B31:H31"/>
    <mergeCell ref="B45:H45"/>
    <mergeCell ref="B25:K25"/>
    <mergeCell ref="B2:H2"/>
    <mergeCell ref="B6:H6"/>
    <mergeCell ref="B14:H14"/>
    <mergeCell ref="C15:E15"/>
    <mergeCell ref="F15:H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69"/>
  <sheetViews>
    <sheetView topLeftCell="A34" zoomScale="115" zoomScaleNormal="115" workbookViewId="0">
      <selection activeCell="I60" sqref="I60"/>
    </sheetView>
  </sheetViews>
  <sheetFormatPr defaultRowHeight="15" x14ac:dyDescent="0.25"/>
  <cols>
    <col min="2" max="2" width="11.5703125" bestFit="1" customWidth="1"/>
    <col min="3" max="3" width="10.42578125" bestFit="1" customWidth="1"/>
    <col min="4" max="4" width="9.7109375" bestFit="1" customWidth="1"/>
    <col min="5" max="5" width="13.85546875" bestFit="1" customWidth="1"/>
    <col min="6" max="6" width="13.7109375" bestFit="1" customWidth="1"/>
    <col min="7" max="8" width="9.5703125" bestFit="1" customWidth="1"/>
    <col min="9" max="9" width="10.85546875" bestFit="1" customWidth="1"/>
    <col min="10" max="10" width="12.5703125" style="38" bestFit="1" customWidth="1"/>
    <col min="11" max="11" width="9.42578125" bestFit="1" customWidth="1"/>
    <col min="13" max="13" width="19.5703125" bestFit="1" customWidth="1"/>
    <col min="17" max="17" width="9.140625" bestFit="1" customWidth="1"/>
    <col min="18" max="18" width="9.7109375" bestFit="1" customWidth="1"/>
    <col min="19" max="19" width="13.7109375" bestFit="1" customWidth="1"/>
    <col min="20" max="20" width="17.28515625" bestFit="1" customWidth="1"/>
    <col min="21" max="21" width="14" bestFit="1" customWidth="1"/>
    <col min="22" max="22" width="9.42578125" bestFit="1" customWidth="1"/>
  </cols>
  <sheetData>
    <row r="2" spans="2:29" x14ac:dyDescent="0.25">
      <c r="B2" s="68" t="s">
        <v>11</v>
      </c>
      <c r="C2" s="68"/>
      <c r="D2" s="68"/>
      <c r="E2" s="68"/>
      <c r="F2" s="68"/>
      <c r="G2" s="68"/>
      <c r="H2" s="68"/>
      <c r="I2" s="2"/>
      <c r="P2" s="83" t="s">
        <v>11</v>
      </c>
      <c r="Q2" s="83"/>
      <c r="R2" s="83"/>
      <c r="S2" s="83"/>
      <c r="T2" s="83"/>
      <c r="U2" s="83"/>
      <c r="V2" s="83"/>
      <c r="W2" s="84"/>
    </row>
    <row r="3" spans="2:29" x14ac:dyDescent="0.25">
      <c r="B3" s="44" t="s">
        <v>12</v>
      </c>
      <c r="C3" s="44" t="s">
        <v>13</v>
      </c>
      <c r="D3" s="44" t="s">
        <v>14</v>
      </c>
      <c r="E3" s="44" t="s">
        <v>15</v>
      </c>
      <c r="F3" s="44" t="s">
        <v>16</v>
      </c>
      <c r="G3" s="44" t="s">
        <v>17</v>
      </c>
      <c r="H3" s="44" t="s">
        <v>18</v>
      </c>
      <c r="I3" s="45" t="s">
        <v>19</v>
      </c>
      <c r="P3" s="2" t="s">
        <v>77</v>
      </c>
      <c r="Q3" s="44" t="s">
        <v>13</v>
      </c>
      <c r="R3" s="44" t="s">
        <v>14</v>
      </c>
      <c r="S3" s="44" t="s">
        <v>15</v>
      </c>
      <c r="T3" s="44" t="s">
        <v>16</v>
      </c>
      <c r="U3" s="44" t="s">
        <v>17</v>
      </c>
      <c r="V3" s="44" t="s">
        <v>18</v>
      </c>
      <c r="W3" s="45" t="s">
        <v>19</v>
      </c>
    </row>
    <row r="4" spans="2:29" s="38" customFormat="1" ht="15.75" x14ac:dyDescent="0.25">
      <c r="B4" s="44" t="s">
        <v>61</v>
      </c>
      <c r="C4" s="43">
        <v>320000</v>
      </c>
      <c r="D4" s="43">
        <v>200000</v>
      </c>
      <c r="E4" s="43">
        <v>160000</v>
      </c>
      <c r="F4" s="43">
        <v>220000</v>
      </c>
      <c r="G4" s="43">
        <v>350000</v>
      </c>
      <c r="H4" s="43">
        <v>175000</v>
      </c>
      <c r="I4" s="2">
        <f>SUM(C4:H4)</f>
        <v>1425000</v>
      </c>
      <c r="P4" s="2">
        <v>2007</v>
      </c>
      <c r="Q4" s="2">
        <v>320000</v>
      </c>
      <c r="R4" s="2">
        <v>200000</v>
      </c>
      <c r="S4" s="2">
        <v>160000</v>
      </c>
      <c r="T4" s="2">
        <v>220000</v>
      </c>
      <c r="U4" s="2">
        <v>350000</v>
      </c>
      <c r="V4" s="2">
        <v>175000</v>
      </c>
      <c r="W4" s="2">
        <f>SUM(Q4:V4)</f>
        <v>1425000</v>
      </c>
      <c r="X4"/>
      <c r="Y4"/>
      <c r="Z4"/>
      <c r="AA4"/>
      <c r="AB4"/>
      <c r="AC4"/>
    </row>
    <row r="5" spans="2:29" x14ac:dyDescent="0.25">
      <c r="P5" s="2">
        <v>2008</v>
      </c>
      <c r="Q5" s="2">
        <f>Q4+0.8*Q4</f>
        <v>576000</v>
      </c>
      <c r="R5" s="2">
        <f t="shared" ref="R5:V7" si="0">R4+0.8*R4</f>
        <v>360000</v>
      </c>
      <c r="S5" s="2">
        <f t="shared" si="0"/>
        <v>288000</v>
      </c>
      <c r="T5" s="2">
        <f t="shared" si="0"/>
        <v>396000</v>
      </c>
      <c r="U5" s="2">
        <f t="shared" si="0"/>
        <v>630000</v>
      </c>
      <c r="V5" s="2">
        <f t="shared" si="0"/>
        <v>315000</v>
      </c>
      <c r="W5" s="2">
        <f t="shared" ref="W5:W7" si="1">SUM(Q5:V5)</f>
        <v>2565000</v>
      </c>
    </row>
    <row r="6" spans="2:29" x14ac:dyDescent="0.25">
      <c r="B6" s="69" t="s">
        <v>20</v>
      </c>
      <c r="C6" s="70"/>
      <c r="D6" s="70"/>
      <c r="E6" s="70"/>
      <c r="F6" s="70"/>
      <c r="G6" s="70"/>
      <c r="H6" s="71"/>
      <c r="P6" s="2">
        <v>2009</v>
      </c>
      <c r="Q6" s="2">
        <f t="shared" ref="Q6:Q7" si="2">Q5+0.8*Q5</f>
        <v>1036800</v>
      </c>
      <c r="R6" s="2">
        <f t="shared" si="0"/>
        <v>648000</v>
      </c>
      <c r="S6" s="2">
        <f t="shared" si="0"/>
        <v>518400</v>
      </c>
      <c r="T6" s="2">
        <f t="shared" si="0"/>
        <v>712800</v>
      </c>
      <c r="U6" s="2">
        <f t="shared" si="0"/>
        <v>1134000</v>
      </c>
      <c r="V6" s="2">
        <f t="shared" si="0"/>
        <v>567000</v>
      </c>
      <c r="W6" s="2">
        <f t="shared" si="1"/>
        <v>4617000</v>
      </c>
    </row>
    <row r="7" spans="2:29" x14ac:dyDescent="0.25">
      <c r="B7" s="1"/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  <c r="P7" s="2">
        <v>2010</v>
      </c>
      <c r="Q7" s="2">
        <f t="shared" si="2"/>
        <v>1866240</v>
      </c>
      <c r="R7" s="2">
        <f t="shared" si="0"/>
        <v>1166400</v>
      </c>
      <c r="S7" s="2">
        <f t="shared" si="0"/>
        <v>933120</v>
      </c>
      <c r="T7" s="2">
        <f t="shared" si="0"/>
        <v>1283040</v>
      </c>
      <c r="U7" s="2">
        <f t="shared" si="0"/>
        <v>2041200</v>
      </c>
      <c r="V7" s="2">
        <f t="shared" si="0"/>
        <v>1020600</v>
      </c>
      <c r="W7" s="2">
        <f t="shared" si="1"/>
        <v>8310600</v>
      </c>
    </row>
    <row r="8" spans="2:29" ht="15.75" x14ac:dyDescent="0.25">
      <c r="B8" s="42" t="s">
        <v>55</v>
      </c>
      <c r="C8" s="47">
        <v>2</v>
      </c>
      <c r="D8" s="47">
        <v>2.5</v>
      </c>
      <c r="E8" s="47">
        <v>3.5</v>
      </c>
      <c r="F8" s="47">
        <v>4</v>
      </c>
      <c r="G8" s="47">
        <v>5</v>
      </c>
      <c r="H8" s="47">
        <v>5.5</v>
      </c>
    </row>
    <row r="9" spans="2:29" ht="15.75" x14ac:dyDescent="0.25">
      <c r="B9" s="42" t="s">
        <v>56</v>
      </c>
      <c r="C9" s="47">
        <v>2.5</v>
      </c>
      <c r="D9" s="47">
        <v>2.5</v>
      </c>
      <c r="E9" s="47">
        <v>2.5</v>
      </c>
      <c r="F9" s="47">
        <v>3</v>
      </c>
      <c r="G9" s="47">
        <v>4</v>
      </c>
      <c r="H9" s="47">
        <v>4.5</v>
      </c>
      <c r="R9" s="61"/>
    </row>
    <row r="10" spans="2:29" ht="15.75" x14ac:dyDescent="0.25">
      <c r="B10" s="42" t="s">
        <v>57</v>
      </c>
      <c r="C10" s="47">
        <v>3.5</v>
      </c>
      <c r="D10" s="47">
        <v>3.5</v>
      </c>
      <c r="E10" s="47">
        <v>2.5</v>
      </c>
      <c r="F10" s="47">
        <v>2.5</v>
      </c>
      <c r="G10" s="47">
        <v>3</v>
      </c>
      <c r="H10" s="47">
        <v>3.5</v>
      </c>
    </row>
    <row r="11" spans="2:29" ht="15.75" x14ac:dyDescent="0.25">
      <c r="B11" s="42" t="s">
        <v>8</v>
      </c>
      <c r="C11" s="47">
        <v>4</v>
      </c>
      <c r="D11" s="47">
        <v>4</v>
      </c>
      <c r="E11" s="47">
        <v>3</v>
      </c>
      <c r="F11" s="47">
        <v>2.5</v>
      </c>
      <c r="G11" s="47">
        <v>3</v>
      </c>
      <c r="H11" s="47">
        <v>2.5</v>
      </c>
      <c r="S11" s="2" t="s">
        <v>77</v>
      </c>
      <c r="T11" s="2" t="s">
        <v>78</v>
      </c>
      <c r="U11" s="2" t="s">
        <v>79</v>
      </c>
      <c r="V11" s="2" t="s">
        <v>32</v>
      </c>
    </row>
    <row r="12" spans="2:29" ht="15.75" x14ac:dyDescent="0.25">
      <c r="B12" s="42" t="s">
        <v>58</v>
      </c>
      <c r="C12" s="47">
        <v>4.5</v>
      </c>
      <c r="D12" s="47">
        <v>5</v>
      </c>
      <c r="E12" s="47">
        <v>3</v>
      </c>
      <c r="F12" s="47">
        <v>3.5</v>
      </c>
      <c r="G12" s="47">
        <v>2.5</v>
      </c>
      <c r="H12" s="47">
        <v>4</v>
      </c>
      <c r="S12" s="2">
        <v>2007</v>
      </c>
      <c r="T12" s="2" t="s">
        <v>80</v>
      </c>
      <c r="U12" s="2"/>
      <c r="V12" s="2">
        <v>5647625</v>
      </c>
    </row>
    <row r="13" spans="2:29" ht="15.75" x14ac:dyDescent="0.25">
      <c r="B13" s="41"/>
      <c r="S13" s="2">
        <v>2008</v>
      </c>
      <c r="T13" s="2" t="s">
        <v>80</v>
      </c>
      <c r="U13" s="2" t="s">
        <v>55</v>
      </c>
      <c r="V13" s="2">
        <v>9794881</v>
      </c>
    </row>
    <row r="14" spans="2:29" x14ac:dyDescent="0.25">
      <c r="B14" s="68" t="s">
        <v>0</v>
      </c>
      <c r="C14" s="68"/>
      <c r="D14" s="68"/>
      <c r="E14" s="68"/>
      <c r="F14" s="68"/>
      <c r="G14" s="68"/>
      <c r="H14" s="68"/>
      <c r="S14" s="2">
        <v>2009</v>
      </c>
      <c r="T14" s="2" t="s">
        <v>80</v>
      </c>
      <c r="U14" s="2" t="s">
        <v>55</v>
      </c>
      <c r="V14" s="2">
        <v>16652405.000000004</v>
      </c>
    </row>
    <row r="15" spans="2:29" x14ac:dyDescent="0.25">
      <c r="B15" s="3"/>
      <c r="C15" s="67" t="s">
        <v>59</v>
      </c>
      <c r="D15" s="67"/>
      <c r="E15" s="67"/>
      <c r="F15" s="67" t="s">
        <v>60</v>
      </c>
      <c r="G15" s="67"/>
      <c r="H15" s="67"/>
      <c r="S15" s="2">
        <v>2010</v>
      </c>
      <c r="T15" s="2" t="s">
        <v>80</v>
      </c>
      <c r="U15" s="2" t="s">
        <v>81</v>
      </c>
      <c r="V15" s="2">
        <v>29317429</v>
      </c>
    </row>
    <row r="16" spans="2:29" ht="30" x14ac:dyDescent="0.25">
      <c r="B16" s="5" t="s">
        <v>1</v>
      </c>
      <c r="C16" s="4" t="s">
        <v>2</v>
      </c>
      <c r="D16" s="4" t="s">
        <v>3</v>
      </c>
      <c r="E16" s="4" t="s">
        <v>4</v>
      </c>
      <c r="F16" s="4" t="s">
        <v>2</v>
      </c>
      <c r="G16" s="4" t="s">
        <v>3</v>
      </c>
      <c r="H16" s="4" t="s">
        <v>4</v>
      </c>
    </row>
    <row r="17" spans="2:20" ht="15.75" x14ac:dyDescent="0.25">
      <c r="B17" s="42" t="s">
        <v>55</v>
      </c>
      <c r="C17" s="1">
        <v>300000</v>
      </c>
      <c r="D17" s="1">
        <v>0.2</v>
      </c>
      <c r="E17" s="1">
        <v>2000</v>
      </c>
      <c r="F17" s="1">
        <v>500000</v>
      </c>
      <c r="G17" s="1">
        <v>0.2</v>
      </c>
      <c r="H17" s="1">
        <v>4000</v>
      </c>
    </row>
    <row r="18" spans="2:20" ht="15.75" x14ac:dyDescent="0.25">
      <c r="B18" s="42" t="s">
        <v>56</v>
      </c>
      <c r="C18" s="1">
        <v>250000</v>
      </c>
      <c r="D18" s="1">
        <v>0.2</v>
      </c>
      <c r="E18" s="1">
        <v>2000</v>
      </c>
      <c r="F18" s="1">
        <v>420000</v>
      </c>
      <c r="G18" s="1">
        <v>0.2</v>
      </c>
      <c r="H18" s="1">
        <v>4000</v>
      </c>
    </row>
    <row r="19" spans="2:20" ht="15.75" x14ac:dyDescent="0.25">
      <c r="B19" s="42" t="s">
        <v>57</v>
      </c>
      <c r="C19" s="1">
        <v>220000</v>
      </c>
      <c r="D19" s="1">
        <v>0.2</v>
      </c>
      <c r="E19" s="1">
        <v>2000</v>
      </c>
      <c r="F19" s="1">
        <v>375000</v>
      </c>
      <c r="G19" s="1">
        <v>0.2</v>
      </c>
      <c r="H19" s="1">
        <v>4000</v>
      </c>
    </row>
    <row r="20" spans="2:20" ht="15.75" x14ac:dyDescent="0.25">
      <c r="B20" s="42" t="s">
        <v>8</v>
      </c>
      <c r="C20" s="1">
        <v>220000</v>
      </c>
      <c r="D20" s="1">
        <v>0.2</v>
      </c>
      <c r="E20" s="1">
        <v>2000</v>
      </c>
      <c r="F20" s="1">
        <v>375000</v>
      </c>
      <c r="G20" s="1">
        <v>0.2</v>
      </c>
      <c r="H20" s="1">
        <v>4000</v>
      </c>
    </row>
    <row r="21" spans="2:20" ht="15.75" x14ac:dyDescent="0.25">
      <c r="B21" s="42" t="s">
        <v>58</v>
      </c>
      <c r="C21" s="1">
        <v>240000</v>
      </c>
      <c r="D21" s="1">
        <v>0.2</v>
      </c>
      <c r="E21" s="1">
        <v>2000</v>
      </c>
      <c r="F21" s="1">
        <v>400000</v>
      </c>
      <c r="G21" s="1">
        <v>0.2</v>
      </c>
      <c r="H21" s="1">
        <v>4000</v>
      </c>
    </row>
    <row r="24" spans="2:20" x14ac:dyDescent="0.25">
      <c r="B24" s="81" t="s">
        <v>64</v>
      </c>
      <c r="C24" s="82"/>
      <c r="D24" s="82"/>
      <c r="E24" s="82"/>
      <c r="F24" s="82"/>
      <c r="G24" s="82"/>
      <c r="H24" s="82"/>
      <c r="I24" s="82"/>
      <c r="J24" s="82"/>
      <c r="K24" s="82"/>
    </row>
    <row r="25" spans="2:20" x14ac:dyDescent="0.25">
      <c r="B25" s="1"/>
      <c r="C25" s="3" t="s">
        <v>13</v>
      </c>
      <c r="D25" s="3" t="s">
        <v>14</v>
      </c>
      <c r="E25" s="3" t="s">
        <v>15</v>
      </c>
      <c r="F25" s="3" t="s">
        <v>16</v>
      </c>
      <c r="G25" s="3" t="s">
        <v>17</v>
      </c>
      <c r="H25" s="3" t="s">
        <v>18</v>
      </c>
      <c r="I25" s="6" t="s">
        <v>63</v>
      </c>
      <c r="J25" s="36" t="s">
        <v>62</v>
      </c>
      <c r="K25" s="12" t="s">
        <v>32</v>
      </c>
    </row>
    <row r="26" spans="2:20" x14ac:dyDescent="0.25">
      <c r="B26" s="3" t="s">
        <v>57</v>
      </c>
      <c r="C26" s="2">
        <f t="shared" ref="C26:H26" si="3">$D$19*C4+C4*C10</f>
        <v>1184000</v>
      </c>
      <c r="D26" s="2">
        <f t="shared" si="3"/>
        <v>740000</v>
      </c>
      <c r="E26" s="2">
        <f t="shared" si="3"/>
        <v>432000</v>
      </c>
      <c r="F26" s="2">
        <f t="shared" si="3"/>
        <v>594000</v>
      </c>
      <c r="G26" s="2">
        <f t="shared" si="3"/>
        <v>1120000</v>
      </c>
      <c r="H26" s="2">
        <f t="shared" si="3"/>
        <v>647500</v>
      </c>
      <c r="I26" s="7">
        <f>C19</f>
        <v>220000</v>
      </c>
      <c r="J26" s="46">
        <f>475000+0.165*I4</f>
        <v>710125</v>
      </c>
      <c r="K26" s="23">
        <f>I26+J26+SUM(C26:H26)</f>
        <v>5647625</v>
      </c>
    </row>
    <row r="27" spans="2:20" x14ac:dyDescent="0.25">
      <c r="Q27" s="39"/>
    </row>
    <row r="28" spans="2:20" x14ac:dyDescent="0.25">
      <c r="R28" s="38"/>
      <c r="S28" s="38"/>
      <c r="T28" s="38"/>
    </row>
    <row r="30" spans="2:20" x14ac:dyDescent="0.25">
      <c r="B30" s="69" t="s">
        <v>66</v>
      </c>
      <c r="C30" s="70"/>
      <c r="D30" s="70"/>
      <c r="E30" s="70"/>
      <c r="F30" s="70"/>
      <c r="G30" s="70"/>
      <c r="H30" s="71"/>
    </row>
    <row r="31" spans="2:20" x14ac:dyDescent="0.25">
      <c r="B31" s="1"/>
      <c r="C31" s="3" t="s">
        <v>13</v>
      </c>
      <c r="D31" s="3" t="s">
        <v>14</v>
      </c>
      <c r="E31" s="3" t="s">
        <v>15</v>
      </c>
      <c r="F31" s="3" t="s">
        <v>16</v>
      </c>
      <c r="G31" s="3" t="s">
        <v>17</v>
      </c>
      <c r="H31" s="3" t="s">
        <v>18</v>
      </c>
      <c r="I31" s="12" t="s">
        <v>33</v>
      </c>
      <c r="J31" s="6" t="s">
        <v>37</v>
      </c>
      <c r="L31" s="6" t="s">
        <v>4</v>
      </c>
      <c r="M31" s="3" t="s">
        <v>49</v>
      </c>
      <c r="N31" s="1" t="s">
        <v>65</v>
      </c>
    </row>
    <row r="32" spans="2:20" ht="15.75" x14ac:dyDescent="0.25">
      <c r="B32" s="42" t="s">
        <v>55</v>
      </c>
      <c r="C32" s="46">
        <v>0</v>
      </c>
      <c r="D32" s="46">
        <v>0</v>
      </c>
      <c r="E32" s="46">
        <v>0</v>
      </c>
      <c r="F32" s="46">
        <v>0</v>
      </c>
      <c r="G32" s="46">
        <v>0</v>
      </c>
      <c r="H32" s="46">
        <v>0</v>
      </c>
      <c r="I32" s="2">
        <v>0</v>
      </c>
      <c r="J32" s="46">
        <f>SUM(C32:H32)</f>
        <v>0</v>
      </c>
      <c r="K32" s="38" t="s">
        <v>38</v>
      </c>
      <c r="L32" s="1">
        <v>2000000</v>
      </c>
      <c r="M32" s="2">
        <f>I32*50000000</f>
        <v>0</v>
      </c>
      <c r="N32" s="2">
        <f>475000*I32+0.165*J32</f>
        <v>0</v>
      </c>
    </row>
    <row r="33" spans="2:20" ht="15.75" x14ac:dyDescent="0.25">
      <c r="B33" s="42" t="s">
        <v>56</v>
      </c>
      <c r="C33" s="46">
        <v>0</v>
      </c>
      <c r="D33" s="46">
        <v>0</v>
      </c>
      <c r="E33" s="46">
        <v>0</v>
      </c>
      <c r="F33" s="46">
        <v>0</v>
      </c>
      <c r="G33" s="46">
        <v>0</v>
      </c>
      <c r="H33" s="46">
        <v>0</v>
      </c>
      <c r="I33" s="2">
        <v>0</v>
      </c>
      <c r="J33" s="46">
        <f>SUM(C33:H33)</f>
        <v>0</v>
      </c>
      <c r="K33" s="38" t="s">
        <v>38</v>
      </c>
      <c r="L33" s="1">
        <v>2000000</v>
      </c>
      <c r="M33" s="2">
        <f t="shared" ref="M33:M36" si="4">I33*50000000</f>
        <v>0</v>
      </c>
      <c r="N33" s="2">
        <f t="shared" ref="N33:N35" si="5">475000*I33+0.165*J33</f>
        <v>0</v>
      </c>
      <c r="R33" s="38"/>
      <c r="S33" s="38"/>
      <c r="T33" s="38"/>
    </row>
    <row r="34" spans="2:20" ht="15.75" x14ac:dyDescent="0.25">
      <c r="B34" s="42" t="s">
        <v>57</v>
      </c>
      <c r="C34" s="46">
        <v>0</v>
      </c>
      <c r="D34" s="46">
        <v>0</v>
      </c>
      <c r="E34" s="46">
        <v>0</v>
      </c>
      <c r="F34" s="46">
        <v>185760.00000427134</v>
      </c>
      <c r="G34" s="46">
        <v>350000</v>
      </c>
      <c r="H34" s="46">
        <v>175000</v>
      </c>
      <c r="I34" s="2">
        <v>1</v>
      </c>
      <c r="J34" s="46">
        <f>SUM(C34:H34)</f>
        <v>710760.00000427128</v>
      </c>
      <c r="K34" s="38" t="s">
        <v>38</v>
      </c>
      <c r="L34" s="1">
        <v>2000000</v>
      </c>
      <c r="M34" s="2">
        <f t="shared" si="4"/>
        <v>50000000</v>
      </c>
      <c r="N34" s="2">
        <f>475000*I34+0.165*J34</f>
        <v>592275.4000007048</v>
      </c>
      <c r="R34" s="38"/>
      <c r="S34" s="38"/>
      <c r="T34" s="38"/>
    </row>
    <row r="35" spans="2:20" ht="15.75" x14ac:dyDescent="0.25">
      <c r="B35" s="42" t="s">
        <v>8</v>
      </c>
      <c r="C35" s="46">
        <v>0</v>
      </c>
      <c r="D35" s="46">
        <v>0</v>
      </c>
      <c r="E35" s="46">
        <v>0</v>
      </c>
      <c r="F35" s="46">
        <v>0</v>
      </c>
      <c r="G35" s="46">
        <v>0</v>
      </c>
      <c r="H35" s="46">
        <v>0</v>
      </c>
      <c r="I35" s="2">
        <v>0</v>
      </c>
      <c r="J35" s="46">
        <f>SUM(C35:H35)</f>
        <v>0</v>
      </c>
      <c r="K35" s="38" t="s">
        <v>38</v>
      </c>
      <c r="L35" s="1">
        <v>2000000</v>
      </c>
      <c r="M35" s="2">
        <f t="shared" si="4"/>
        <v>0</v>
      </c>
      <c r="N35" s="2">
        <f t="shared" si="5"/>
        <v>0</v>
      </c>
      <c r="R35" s="38"/>
      <c r="S35" s="38"/>
      <c r="T35" s="38"/>
    </row>
    <row r="36" spans="2:20" ht="15.75" x14ac:dyDescent="0.25">
      <c r="B36" s="42" t="s">
        <v>58</v>
      </c>
      <c r="C36" s="46">
        <v>0</v>
      </c>
      <c r="D36" s="46">
        <v>0</v>
      </c>
      <c r="E36" s="46">
        <v>0</v>
      </c>
      <c r="F36" s="46">
        <v>0</v>
      </c>
      <c r="G36" s="46">
        <v>0</v>
      </c>
      <c r="H36" s="46">
        <v>0</v>
      </c>
      <c r="I36" s="2">
        <v>0</v>
      </c>
      <c r="J36" s="46">
        <f>SUM(C36:H36)</f>
        <v>0</v>
      </c>
      <c r="K36" s="38" t="s">
        <v>38</v>
      </c>
      <c r="L36" s="1">
        <v>2000000</v>
      </c>
      <c r="M36" s="2">
        <f t="shared" si="4"/>
        <v>0</v>
      </c>
      <c r="N36" s="2">
        <f>475000*I36+0.165*J36</f>
        <v>0</v>
      </c>
      <c r="R36" s="38"/>
      <c r="S36" s="38"/>
      <c r="T36" s="38"/>
    </row>
    <row r="37" spans="2:20" x14ac:dyDescent="0.25">
      <c r="C37" s="51">
        <f>SUM(C32:C36)</f>
        <v>0</v>
      </c>
      <c r="D37" s="51">
        <f t="shared" ref="D37:G37" si="6">SUM(D32:D36)</f>
        <v>0</v>
      </c>
      <c r="E37" s="51">
        <f t="shared" si="6"/>
        <v>0</v>
      </c>
      <c r="F37" s="51">
        <f t="shared" si="6"/>
        <v>185760.00000427134</v>
      </c>
      <c r="G37" s="51">
        <f t="shared" si="6"/>
        <v>350000</v>
      </c>
      <c r="H37" s="51">
        <f>SUM(H32:H36)</f>
        <v>175000</v>
      </c>
      <c r="I37" s="49"/>
      <c r="M37" s="2" t="s">
        <v>19</v>
      </c>
      <c r="N37" s="50">
        <f>SUM(N32:N36)</f>
        <v>592275.4000007048</v>
      </c>
    </row>
    <row r="38" spans="2:20" x14ac:dyDescent="0.25">
      <c r="C38" s="38" t="s">
        <v>39</v>
      </c>
      <c r="D38" s="38" t="s">
        <v>39</v>
      </c>
      <c r="E38" s="38" t="s">
        <v>39</v>
      </c>
      <c r="F38" s="38" t="s">
        <v>39</v>
      </c>
      <c r="G38" s="38" t="s">
        <v>39</v>
      </c>
      <c r="H38" s="38" t="s">
        <v>39</v>
      </c>
    </row>
    <row r="39" spans="2:20" ht="15.75" x14ac:dyDescent="0.25">
      <c r="B39" s="6" t="s">
        <v>35</v>
      </c>
      <c r="C39" s="43">
        <v>320000</v>
      </c>
      <c r="D39" s="43">
        <v>200000</v>
      </c>
      <c r="E39" s="43">
        <v>160000</v>
      </c>
      <c r="F39" s="43">
        <v>220000</v>
      </c>
      <c r="G39" s="43">
        <v>350000</v>
      </c>
      <c r="H39" s="43">
        <v>175000</v>
      </c>
    </row>
    <row r="41" spans="2:20" x14ac:dyDescent="0.25">
      <c r="B41" s="40" t="s">
        <v>2</v>
      </c>
      <c r="C41" s="46">
        <f>SUMPRODUCT(I32:I36,C17:C21)</f>
        <v>220000</v>
      </c>
    </row>
    <row r="42" spans="2:20" x14ac:dyDescent="0.25">
      <c r="B42" s="40" t="s">
        <v>3</v>
      </c>
      <c r="C42" s="2">
        <f>SUMPRODUCT(J32:J36,D17:D21)</f>
        <v>142152.00000085426</v>
      </c>
    </row>
    <row r="43" spans="2:20" x14ac:dyDescent="0.25">
      <c r="B43" s="40" t="s">
        <v>76</v>
      </c>
      <c r="C43" s="2">
        <f>SUMPRODUCT(C32:H36,C8:H12)</f>
        <v>2126900.0000106785</v>
      </c>
    </row>
    <row r="44" spans="2:20" x14ac:dyDescent="0.25">
      <c r="B44" s="40" t="s">
        <v>65</v>
      </c>
      <c r="C44" s="2">
        <f>N37</f>
        <v>592275.4000007048</v>
      </c>
    </row>
    <row r="45" spans="2:20" x14ac:dyDescent="0.25">
      <c r="B45" s="53" t="s">
        <v>32</v>
      </c>
      <c r="C45" s="58">
        <f>SUM(C41:C44)</f>
        <v>3081327.4000122375</v>
      </c>
    </row>
    <row r="47" spans="2:20" x14ac:dyDescent="0.25">
      <c r="B47" s="69" t="s">
        <v>67</v>
      </c>
      <c r="C47" s="70"/>
      <c r="D47" s="70"/>
      <c r="E47" s="70"/>
      <c r="F47" s="70"/>
      <c r="G47" s="70"/>
      <c r="H47" s="71"/>
    </row>
    <row r="48" spans="2:20" x14ac:dyDescent="0.25">
      <c r="B48" s="1"/>
      <c r="C48" s="3" t="s">
        <v>13</v>
      </c>
      <c r="D48" s="3" t="s">
        <v>14</v>
      </c>
      <c r="E48" s="3" t="s">
        <v>15</v>
      </c>
      <c r="F48" s="3" t="s">
        <v>16</v>
      </c>
      <c r="G48" s="3" t="s">
        <v>17</v>
      </c>
      <c r="H48" s="3" t="s">
        <v>18</v>
      </c>
      <c r="I48" s="12" t="s">
        <v>33</v>
      </c>
      <c r="J48" s="6" t="s">
        <v>37</v>
      </c>
      <c r="L48" s="6" t="s">
        <v>4</v>
      </c>
      <c r="M48" s="3" t="s">
        <v>49</v>
      </c>
      <c r="N48" s="1" t="s">
        <v>65</v>
      </c>
    </row>
    <row r="49" spans="2:20" ht="15.75" x14ac:dyDescent="0.25">
      <c r="B49" s="42" t="s">
        <v>55</v>
      </c>
      <c r="C49" s="46">
        <v>320000</v>
      </c>
      <c r="D49" s="46">
        <v>200000</v>
      </c>
      <c r="E49" s="46">
        <v>160000</v>
      </c>
      <c r="F49" s="46">
        <v>34239.999995728627</v>
      </c>
      <c r="G49" s="46">
        <v>0</v>
      </c>
      <c r="H49" s="46">
        <v>0</v>
      </c>
      <c r="I49" s="2">
        <v>1</v>
      </c>
      <c r="J49" s="46">
        <f>SUM(C49:H49)</f>
        <v>714239.99999572861</v>
      </c>
      <c r="K49" s="38" t="s">
        <v>38</v>
      </c>
      <c r="L49" s="1">
        <v>4000000</v>
      </c>
      <c r="M49" s="2">
        <f>I49*50000000</f>
        <v>50000000</v>
      </c>
      <c r="N49" s="2">
        <f>475000*I49+0.165*J49</f>
        <v>592849.5999992952</v>
      </c>
    </row>
    <row r="50" spans="2:20" ht="15.75" x14ac:dyDescent="0.25">
      <c r="B50" s="42" t="s">
        <v>56</v>
      </c>
      <c r="C50" s="46">
        <v>3.5527136788005009E-15</v>
      </c>
      <c r="D50" s="46">
        <v>0</v>
      </c>
      <c r="E50" s="46">
        <v>0</v>
      </c>
      <c r="F50" s="46">
        <v>0</v>
      </c>
      <c r="G50" s="46">
        <v>0</v>
      </c>
      <c r="H50" s="46">
        <v>0</v>
      </c>
      <c r="I50" s="2">
        <v>0</v>
      </c>
      <c r="J50" s="2">
        <f t="shared" ref="J50:J53" si="7">SUM(C50:H50)</f>
        <v>3.5527136788005009E-15</v>
      </c>
      <c r="K50" s="38" t="s">
        <v>38</v>
      </c>
      <c r="L50" s="1">
        <v>4000000</v>
      </c>
      <c r="M50" s="2">
        <f t="shared" ref="M50:M53" si="8">I50*50000000</f>
        <v>0</v>
      </c>
      <c r="N50" s="2">
        <f t="shared" ref="N50" si="9">475000*I50+0.165*J50</f>
        <v>5.8619775700208268E-16</v>
      </c>
      <c r="R50" s="38"/>
      <c r="S50" s="38"/>
      <c r="T50" s="38"/>
    </row>
    <row r="51" spans="2:20" ht="15.75" x14ac:dyDescent="0.25">
      <c r="B51" s="42" t="s">
        <v>57</v>
      </c>
      <c r="C51" s="46">
        <v>0</v>
      </c>
      <c r="D51" s="46">
        <v>0</v>
      </c>
      <c r="E51" s="46">
        <v>0</v>
      </c>
      <c r="F51" s="46">
        <v>0</v>
      </c>
      <c r="G51" s="46">
        <v>0</v>
      </c>
      <c r="H51" s="46">
        <v>0</v>
      </c>
      <c r="I51" s="2">
        <v>0</v>
      </c>
      <c r="J51" s="2">
        <f t="shared" si="7"/>
        <v>0</v>
      </c>
      <c r="K51" s="38" t="s">
        <v>38</v>
      </c>
      <c r="L51" s="1">
        <v>4000000</v>
      </c>
      <c r="M51" s="2">
        <f t="shared" si="8"/>
        <v>0</v>
      </c>
      <c r="N51" s="2">
        <f>475000*I51+0.165*J51</f>
        <v>0</v>
      </c>
      <c r="R51" s="38"/>
      <c r="S51" s="38"/>
      <c r="T51" s="38"/>
    </row>
    <row r="52" spans="2:20" ht="15.75" x14ac:dyDescent="0.25">
      <c r="B52" s="42" t="s">
        <v>8</v>
      </c>
      <c r="C52" s="46">
        <v>0</v>
      </c>
      <c r="D52" s="46">
        <v>0</v>
      </c>
      <c r="E52" s="46">
        <v>0</v>
      </c>
      <c r="F52" s="46">
        <v>0</v>
      </c>
      <c r="G52" s="46">
        <v>0</v>
      </c>
      <c r="H52" s="46">
        <v>0</v>
      </c>
      <c r="I52" s="2">
        <v>0</v>
      </c>
      <c r="J52" s="2">
        <f t="shared" si="7"/>
        <v>0</v>
      </c>
      <c r="K52" s="38" t="s">
        <v>38</v>
      </c>
      <c r="L52" s="1">
        <v>4000000</v>
      </c>
      <c r="M52" s="2">
        <f t="shared" si="8"/>
        <v>0</v>
      </c>
      <c r="N52" s="2">
        <f t="shared" ref="N52" si="10">475000*I52+0.165*J52</f>
        <v>0</v>
      </c>
      <c r="R52" s="38"/>
      <c r="S52" s="38"/>
      <c r="T52" s="38"/>
    </row>
    <row r="53" spans="2:20" ht="15.75" x14ac:dyDescent="0.25">
      <c r="B53" s="42" t="s">
        <v>58</v>
      </c>
      <c r="C53" s="46">
        <v>0</v>
      </c>
      <c r="D53" s="46">
        <v>0</v>
      </c>
      <c r="E53" s="46">
        <v>0</v>
      </c>
      <c r="F53" s="46">
        <v>0</v>
      </c>
      <c r="G53" s="46">
        <v>0</v>
      </c>
      <c r="H53" s="46">
        <v>0</v>
      </c>
      <c r="I53" s="2">
        <v>0</v>
      </c>
      <c r="J53" s="2">
        <f t="shared" si="7"/>
        <v>0</v>
      </c>
      <c r="K53" s="38" t="s">
        <v>38</v>
      </c>
      <c r="L53" s="1">
        <v>4000000</v>
      </c>
      <c r="M53" s="2">
        <f t="shared" si="8"/>
        <v>0</v>
      </c>
      <c r="N53" s="2">
        <f>475000*I53+0.165*J53</f>
        <v>0</v>
      </c>
      <c r="R53" s="38"/>
      <c r="S53" s="38"/>
      <c r="T53" s="38"/>
    </row>
    <row r="54" spans="2:20" ht="15.75" x14ac:dyDescent="0.25">
      <c r="B54" s="41"/>
      <c r="C54" s="51"/>
      <c r="D54" s="51"/>
      <c r="E54" s="51"/>
      <c r="F54" s="51"/>
      <c r="G54" s="51"/>
      <c r="H54" s="51"/>
      <c r="I54" s="49"/>
      <c r="M54" s="2" t="s">
        <v>19</v>
      </c>
      <c r="N54" s="50">
        <f>SUM(N49:N53)</f>
        <v>592849.5999992952</v>
      </c>
    </row>
    <row r="55" spans="2:20" x14ac:dyDescent="0.25">
      <c r="C55" s="51">
        <f>SUM(C49:C53)+SUM(C32:C36)</f>
        <v>320000</v>
      </c>
      <c r="D55" s="51">
        <f t="shared" ref="D55:H55" si="11">SUM(D49:D53)+SUM(D32:D36)</f>
        <v>200000</v>
      </c>
      <c r="E55" s="51">
        <f t="shared" si="11"/>
        <v>160000</v>
      </c>
      <c r="F55" s="51">
        <f t="shared" si="11"/>
        <v>219999.99999999997</v>
      </c>
      <c r="G55" s="51">
        <f t="shared" si="11"/>
        <v>350000</v>
      </c>
      <c r="H55" s="51">
        <f t="shared" si="11"/>
        <v>175000</v>
      </c>
      <c r="I55" s="49"/>
    </row>
    <row r="56" spans="2:20" x14ac:dyDescent="0.25">
      <c r="C56" s="38" t="s">
        <v>39</v>
      </c>
      <c r="D56" s="38" t="s">
        <v>39</v>
      </c>
      <c r="E56" s="38" t="s">
        <v>39</v>
      </c>
      <c r="F56" s="38" t="s">
        <v>39</v>
      </c>
      <c r="G56" s="38" t="s">
        <v>39</v>
      </c>
      <c r="H56" s="38" t="s">
        <v>39</v>
      </c>
    </row>
    <row r="57" spans="2:20" x14ac:dyDescent="0.25">
      <c r="C57" s="38"/>
      <c r="D57" s="38"/>
      <c r="E57" s="38"/>
      <c r="F57" s="38"/>
      <c r="G57" s="38"/>
      <c r="H57" s="38"/>
    </row>
    <row r="58" spans="2:20" ht="15.75" x14ac:dyDescent="0.25">
      <c r="B58" s="6" t="s">
        <v>35</v>
      </c>
      <c r="C58" s="43">
        <f>C4</f>
        <v>320000</v>
      </c>
      <c r="D58" s="43">
        <f t="shared" ref="D58:H58" si="12">D4</f>
        <v>200000</v>
      </c>
      <c r="E58" s="43">
        <f t="shared" si="12"/>
        <v>160000</v>
      </c>
      <c r="F58" s="43">
        <f t="shared" si="12"/>
        <v>220000</v>
      </c>
      <c r="G58" s="43">
        <f t="shared" si="12"/>
        <v>350000</v>
      </c>
      <c r="H58" s="43">
        <f t="shared" si="12"/>
        <v>175000</v>
      </c>
    </row>
    <row r="60" spans="2:20" x14ac:dyDescent="0.25">
      <c r="B60" s="15" t="s">
        <v>36</v>
      </c>
      <c r="C60" s="46">
        <f>SUMPRODUCT(I49:I53,F17:F21)+SUMPRODUCT(I32:I36,C17:C21)+SUMPRODUCT(C8:H12,C49:H53)+SUMPRODUCT(C32:H36,C8:H12)+N54+N37+SUMPRODUCT(J32:J36,D17:D21)+SUMPRODUCT(J49:J53,G17:G21)</f>
        <v>6153984.9999935925</v>
      </c>
    </row>
    <row r="62" spans="2:20" x14ac:dyDescent="0.25">
      <c r="J62" s="60"/>
    </row>
    <row r="63" spans="2:20" x14ac:dyDescent="0.25">
      <c r="B63" s="40" t="s">
        <v>2</v>
      </c>
      <c r="C63" s="46">
        <f>SUMPRODUCT(I49:I53,F17:F21)</f>
        <v>500000</v>
      </c>
    </row>
    <row r="64" spans="2:20" x14ac:dyDescent="0.25">
      <c r="B64" s="40" t="s">
        <v>3</v>
      </c>
      <c r="C64" s="2">
        <f>SUMPRODUCT(J49:J53,G17:G21)</f>
        <v>142847.99999914572</v>
      </c>
    </row>
    <row r="65" spans="2:3" x14ac:dyDescent="0.25">
      <c r="B65" s="40" t="s">
        <v>76</v>
      </c>
      <c r="C65" s="2">
        <f>SUMPRODUCT(C49:H53,C8:H12)</f>
        <v>1836959.9999829144</v>
      </c>
    </row>
    <row r="66" spans="2:3" x14ac:dyDescent="0.25">
      <c r="B66" s="40" t="s">
        <v>65</v>
      </c>
      <c r="C66" s="2">
        <f>N54</f>
        <v>592849.5999992952</v>
      </c>
    </row>
    <row r="67" spans="2:3" x14ac:dyDescent="0.25">
      <c r="B67" s="53" t="s">
        <v>32</v>
      </c>
      <c r="C67" s="59">
        <f>SUM(C63:C66)</f>
        <v>3072657.599981355</v>
      </c>
    </row>
    <row r="69" spans="2:3" x14ac:dyDescent="0.25">
      <c r="B69" s="48"/>
    </row>
  </sheetData>
  <mergeCells count="9">
    <mergeCell ref="P2:W2"/>
    <mergeCell ref="B30:H30"/>
    <mergeCell ref="B47:H47"/>
    <mergeCell ref="B2:H2"/>
    <mergeCell ref="B6:H6"/>
    <mergeCell ref="B14:H14"/>
    <mergeCell ref="C15:E15"/>
    <mergeCell ref="F15:H15"/>
    <mergeCell ref="B24:K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59"/>
  <sheetViews>
    <sheetView tabSelected="1" topLeftCell="A25" workbookViewId="0">
      <selection activeCell="H63" sqref="H63"/>
    </sheetView>
  </sheetViews>
  <sheetFormatPr defaultRowHeight="15" x14ac:dyDescent="0.25"/>
  <cols>
    <col min="2" max="2" width="11.5703125" bestFit="1" customWidth="1"/>
    <col min="3" max="4" width="10.42578125" bestFit="1" customWidth="1"/>
    <col min="5" max="5" width="15" bestFit="1" customWidth="1"/>
    <col min="6" max="6" width="14.85546875" bestFit="1" customWidth="1"/>
    <col min="7" max="8" width="9.85546875" bestFit="1" customWidth="1"/>
    <col min="9" max="9" width="10.85546875" bestFit="1" customWidth="1"/>
    <col min="10" max="10" width="12.5703125" style="38" bestFit="1" customWidth="1"/>
    <col min="13" max="13" width="19.5703125" bestFit="1" customWidth="1"/>
    <col min="18" max="18" width="9.7109375" bestFit="1" customWidth="1"/>
    <col min="19" max="19" width="11.85546875" bestFit="1" customWidth="1"/>
    <col min="20" max="20" width="17.28515625" bestFit="1" customWidth="1"/>
  </cols>
  <sheetData>
    <row r="2" spans="2:27" x14ac:dyDescent="0.25">
      <c r="B2" s="68" t="s">
        <v>11</v>
      </c>
      <c r="C2" s="68"/>
      <c r="D2" s="68"/>
      <c r="E2" s="68"/>
      <c r="F2" s="68"/>
      <c r="G2" s="68"/>
      <c r="H2" s="68"/>
      <c r="I2" s="2"/>
      <c r="U2" s="69" t="s">
        <v>20</v>
      </c>
      <c r="V2" s="70"/>
      <c r="W2" s="70"/>
      <c r="X2" s="70"/>
      <c r="Y2" s="70"/>
      <c r="Z2" s="70"/>
      <c r="AA2" s="71"/>
    </row>
    <row r="3" spans="2:27" x14ac:dyDescent="0.25">
      <c r="B3" s="44" t="s">
        <v>12</v>
      </c>
      <c r="C3" s="44" t="s">
        <v>13</v>
      </c>
      <c r="D3" s="44" t="s">
        <v>14</v>
      </c>
      <c r="E3" s="44" t="s">
        <v>15</v>
      </c>
      <c r="F3" s="44" t="s">
        <v>16</v>
      </c>
      <c r="G3" s="44" t="s">
        <v>17</v>
      </c>
      <c r="H3" s="44" t="s">
        <v>18</v>
      </c>
      <c r="I3" s="45" t="s">
        <v>19</v>
      </c>
      <c r="U3" s="1"/>
      <c r="V3" s="3" t="s">
        <v>13</v>
      </c>
      <c r="W3" s="3" t="s">
        <v>14</v>
      </c>
      <c r="X3" s="3" t="s">
        <v>15</v>
      </c>
      <c r="Y3" s="3" t="s">
        <v>16</v>
      </c>
      <c r="Z3" s="3" t="s">
        <v>17</v>
      </c>
      <c r="AA3" s="3" t="s">
        <v>18</v>
      </c>
    </row>
    <row r="4" spans="2:27" s="38" customFormat="1" ht="15.75" x14ac:dyDescent="0.25">
      <c r="B4" s="44" t="s">
        <v>61</v>
      </c>
      <c r="C4" s="43">
        <v>320000</v>
      </c>
      <c r="D4" s="43">
        <v>200000</v>
      </c>
      <c r="E4" s="43">
        <v>160000</v>
      </c>
      <c r="F4" s="43">
        <v>220000</v>
      </c>
      <c r="G4" s="43">
        <v>350000</v>
      </c>
      <c r="H4" s="43">
        <v>175000</v>
      </c>
      <c r="I4" s="2">
        <f>SUM(C4:H4)</f>
        <v>1425000</v>
      </c>
      <c r="U4" s="42" t="s">
        <v>55</v>
      </c>
      <c r="V4" s="47">
        <v>2</v>
      </c>
      <c r="W4" s="47">
        <v>2.5</v>
      </c>
      <c r="X4" s="47">
        <v>3.5</v>
      </c>
      <c r="Y4" s="47">
        <v>4</v>
      </c>
      <c r="Z4" s="47">
        <v>5</v>
      </c>
      <c r="AA4" s="47">
        <v>5.5</v>
      </c>
    </row>
    <row r="5" spans="2:27" ht="15.75" x14ac:dyDescent="0.25">
      <c r="U5" s="42" t="s">
        <v>56</v>
      </c>
      <c r="V5" s="47">
        <v>2.5</v>
      </c>
      <c r="W5" s="47">
        <v>2.5</v>
      </c>
      <c r="X5" s="47">
        <v>2.5</v>
      </c>
      <c r="Y5" s="47">
        <v>3</v>
      </c>
      <c r="Z5" s="47">
        <v>4</v>
      </c>
      <c r="AA5" s="47">
        <v>4.5</v>
      </c>
    </row>
    <row r="6" spans="2:27" ht="15.75" x14ac:dyDescent="0.25">
      <c r="B6" s="69" t="s">
        <v>20</v>
      </c>
      <c r="C6" s="70"/>
      <c r="D6" s="70"/>
      <c r="E6" s="70"/>
      <c r="F6" s="70"/>
      <c r="G6" s="70"/>
      <c r="H6" s="71"/>
      <c r="U6" s="42" t="s">
        <v>57</v>
      </c>
      <c r="V6" s="47">
        <v>3.5</v>
      </c>
      <c r="W6" s="47">
        <v>3.5</v>
      </c>
      <c r="X6" s="47">
        <v>2.5</v>
      </c>
      <c r="Y6" s="47">
        <v>2.5</v>
      </c>
      <c r="Z6" s="47">
        <v>3</v>
      </c>
      <c r="AA6" s="47">
        <v>3.5</v>
      </c>
    </row>
    <row r="7" spans="2:27" ht="15.75" x14ac:dyDescent="0.25">
      <c r="B7" s="1"/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  <c r="U7" s="42" t="s">
        <v>8</v>
      </c>
      <c r="V7" s="47">
        <v>4</v>
      </c>
      <c r="W7" s="47">
        <v>4</v>
      </c>
      <c r="X7" s="47">
        <v>3</v>
      </c>
      <c r="Y7" s="47">
        <v>2.5</v>
      </c>
      <c r="Z7" s="47">
        <v>3</v>
      </c>
      <c r="AA7" s="47">
        <v>2.5</v>
      </c>
    </row>
    <row r="8" spans="2:27" ht="15.75" x14ac:dyDescent="0.25">
      <c r="B8" s="42" t="s">
        <v>55</v>
      </c>
      <c r="C8" s="47">
        <f>V4</f>
        <v>2</v>
      </c>
      <c r="D8" s="47">
        <f t="shared" ref="D8:H12" si="0">W4</f>
        <v>2.5</v>
      </c>
      <c r="E8" s="47">
        <f t="shared" si="0"/>
        <v>3.5</v>
      </c>
      <c r="F8" s="47">
        <f t="shared" si="0"/>
        <v>4</v>
      </c>
      <c r="G8" s="47">
        <f t="shared" si="0"/>
        <v>5</v>
      </c>
      <c r="H8" s="47">
        <f t="shared" si="0"/>
        <v>5.5</v>
      </c>
      <c r="U8" s="42" t="s">
        <v>58</v>
      </c>
      <c r="V8" s="47">
        <v>4.5</v>
      </c>
      <c r="W8" s="47">
        <v>5</v>
      </c>
      <c r="X8" s="47">
        <v>3</v>
      </c>
      <c r="Y8" s="47">
        <v>3.5</v>
      </c>
      <c r="Z8" s="47">
        <v>2.5</v>
      </c>
      <c r="AA8" s="47">
        <v>4</v>
      </c>
    </row>
    <row r="9" spans="2:27" ht="15.75" x14ac:dyDescent="0.25">
      <c r="B9" s="42" t="s">
        <v>56</v>
      </c>
      <c r="C9" s="47">
        <f t="shared" ref="C9:C12" si="1">V5</f>
        <v>2.5</v>
      </c>
      <c r="D9" s="47">
        <f t="shared" si="0"/>
        <v>2.5</v>
      </c>
      <c r="E9" s="47">
        <f t="shared" si="0"/>
        <v>2.5</v>
      </c>
      <c r="F9" s="47">
        <f t="shared" si="0"/>
        <v>3</v>
      </c>
      <c r="G9" s="47">
        <f t="shared" si="0"/>
        <v>4</v>
      </c>
      <c r="H9" s="47">
        <f t="shared" si="0"/>
        <v>4.5</v>
      </c>
    </row>
    <row r="10" spans="2:27" ht="15.75" x14ac:dyDescent="0.25">
      <c r="B10" s="42" t="s">
        <v>57</v>
      </c>
      <c r="C10" s="47">
        <f t="shared" si="1"/>
        <v>3.5</v>
      </c>
      <c r="D10" s="47">
        <f t="shared" si="0"/>
        <v>3.5</v>
      </c>
      <c r="E10" s="47">
        <f t="shared" si="0"/>
        <v>2.5</v>
      </c>
      <c r="F10" s="47">
        <f t="shared" si="0"/>
        <v>2.5</v>
      </c>
      <c r="G10" s="47">
        <f t="shared" si="0"/>
        <v>3</v>
      </c>
      <c r="H10" s="47">
        <f t="shared" si="0"/>
        <v>3.5</v>
      </c>
      <c r="U10" s="85" t="s">
        <v>82</v>
      </c>
      <c r="W10" s="86">
        <v>0.8</v>
      </c>
    </row>
    <row r="11" spans="2:27" ht="15.75" x14ac:dyDescent="0.25">
      <c r="B11" s="42" t="s">
        <v>8</v>
      </c>
      <c r="C11" s="47">
        <f t="shared" si="1"/>
        <v>4</v>
      </c>
      <c r="D11" s="47">
        <f t="shared" si="0"/>
        <v>4</v>
      </c>
      <c r="E11" s="47">
        <f t="shared" si="0"/>
        <v>3</v>
      </c>
      <c r="F11" s="47">
        <f t="shared" si="0"/>
        <v>2.5</v>
      </c>
      <c r="G11" s="47">
        <f t="shared" si="0"/>
        <v>3</v>
      </c>
      <c r="H11" s="47">
        <f t="shared" si="0"/>
        <v>2.5</v>
      </c>
      <c r="U11" s="85" t="s">
        <v>83</v>
      </c>
      <c r="W11" s="86">
        <v>1</v>
      </c>
    </row>
    <row r="12" spans="2:27" ht="15.75" x14ac:dyDescent="0.25">
      <c r="B12" s="42" t="s">
        <v>58</v>
      </c>
      <c r="C12" s="47">
        <f t="shared" si="1"/>
        <v>4.5</v>
      </c>
      <c r="D12" s="47">
        <f t="shared" si="0"/>
        <v>5</v>
      </c>
      <c r="E12" s="47">
        <f t="shared" si="0"/>
        <v>3</v>
      </c>
      <c r="F12" s="47">
        <f t="shared" si="0"/>
        <v>3.5</v>
      </c>
      <c r="G12" s="47">
        <f t="shared" si="0"/>
        <v>2.5</v>
      </c>
      <c r="H12" s="47">
        <f t="shared" si="0"/>
        <v>4</v>
      </c>
    </row>
    <row r="13" spans="2:27" ht="15.75" x14ac:dyDescent="0.25">
      <c r="B13" s="41"/>
    </row>
    <row r="14" spans="2:27" x14ac:dyDescent="0.25">
      <c r="B14" s="68" t="s">
        <v>0</v>
      </c>
      <c r="C14" s="68"/>
      <c r="D14" s="68"/>
      <c r="E14" s="68"/>
      <c r="F14" s="68"/>
      <c r="G14" s="68"/>
      <c r="H14" s="68"/>
    </row>
    <row r="15" spans="2:27" x14ac:dyDescent="0.25">
      <c r="B15" s="3"/>
      <c r="C15" s="67" t="s">
        <v>59</v>
      </c>
      <c r="D15" s="67"/>
      <c r="E15" s="67"/>
      <c r="F15" s="67" t="s">
        <v>60</v>
      </c>
      <c r="G15" s="67"/>
      <c r="H15" s="67"/>
    </row>
    <row r="16" spans="2:27" ht="30" x14ac:dyDescent="0.25">
      <c r="B16" s="56" t="s">
        <v>1</v>
      </c>
      <c r="C16" s="57" t="s">
        <v>2</v>
      </c>
      <c r="D16" s="57" t="s">
        <v>3</v>
      </c>
      <c r="E16" s="57" t="s">
        <v>4</v>
      </c>
      <c r="F16" s="57" t="s">
        <v>2</v>
      </c>
      <c r="G16" s="57" t="s">
        <v>3</v>
      </c>
      <c r="H16" s="57" t="s">
        <v>4</v>
      </c>
    </row>
    <row r="17" spans="2:20" ht="15.75" x14ac:dyDescent="0.25">
      <c r="B17" s="42" t="s">
        <v>55</v>
      </c>
      <c r="C17" s="1">
        <v>300000</v>
      </c>
      <c r="D17" s="1">
        <v>0.2</v>
      </c>
      <c r="E17" s="1">
        <v>2000</v>
      </c>
      <c r="F17" s="1">
        <v>500000</v>
      </c>
      <c r="G17" s="1">
        <v>0.2</v>
      </c>
      <c r="H17" s="1">
        <v>4000</v>
      </c>
    </row>
    <row r="18" spans="2:20" ht="15.75" x14ac:dyDescent="0.25">
      <c r="B18" s="42" t="s">
        <v>56</v>
      </c>
      <c r="C18" s="1">
        <v>250000</v>
      </c>
      <c r="D18" s="1">
        <v>0.2</v>
      </c>
      <c r="E18" s="1">
        <v>2000</v>
      </c>
      <c r="F18" s="1">
        <v>420000</v>
      </c>
      <c r="G18" s="1">
        <v>0.2</v>
      </c>
      <c r="H18" s="1">
        <v>4000</v>
      </c>
    </row>
    <row r="19" spans="2:20" ht="15.75" x14ac:dyDescent="0.25">
      <c r="B19" s="42" t="s">
        <v>57</v>
      </c>
      <c r="C19" s="1">
        <v>220000</v>
      </c>
      <c r="D19" s="1">
        <v>0.2</v>
      </c>
      <c r="E19" s="1">
        <v>2000</v>
      </c>
      <c r="F19" s="1">
        <v>375000</v>
      </c>
      <c r="G19" s="1">
        <v>0.2</v>
      </c>
      <c r="H19" s="1">
        <v>4000</v>
      </c>
    </row>
    <row r="20" spans="2:20" ht="15.75" x14ac:dyDescent="0.25">
      <c r="B20" s="42" t="s">
        <v>8</v>
      </c>
      <c r="C20" s="1">
        <v>220000</v>
      </c>
      <c r="D20" s="1">
        <v>0.2</v>
      </c>
      <c r="E20" s="1">
        <v>2000</v>
      </c>
      <c r="F20" s="1">
        <v>375000</v>
      </c>
      <c r="G20" s="1">
        <v>0.2</v>
      </c>
      <c r="H20" s="1">
        <v>4000</v>
      </c>
    </row>
    <row r="21" spans="2:20" ht="15.75" x14ac:dyDescent="0.25">
      <c r="B21" s="42" t="s">
        <v>58</v>
      </c>
      <c r="C21" s="1">
        <v>240000</v>
      </c>
      <c r="D21" s="1">
        <v>0.2</v>
      </c>
      <c r="E21" s="1">
        <v>2000</v>
      </c>
      <c r="F21" s="1">
        <v>400000</v>
      </c>
      <c r="G21" s="1">
        <v>0.2</v>
      </c>
      <c r="H21" s="1">
        <v>4000</v>
      </c>
    </row>
    <row r="25" spans="2:20" x14ac:dyDescent="0.25">
      <c r="B25" s="81" t="s">
        <v>64</v>
      </c>
      <c r="C25" s="82"/>
      <c r="D25" s="82"/>
      <c r="E25" s="82"/>
      <c r="F25" s="82"/>
      <c r="G25" s="82"/>
      <c r="H25" s="82"/>
      <c r="I25" s="82"/>
      <c r="J25" s="82"/>
      <c r="K25" s="82"/>
    </row>
    <row r="26" spans="2:20" x14ac:dyDescent="0.25">
      <c r="B26" s="1"/>
      <c r="C26" s="3" t="s">
        <v>13</v>
      </c>
      <c r="D26" s="3" t="s">
        <v>14</v>
      </c>
      <c r="E26" s="3" t="s">
        <v>15</v>
      </c>
      <c r="F26" s="3" t="s">
        <v>16</v>
      </c>
      <c r="G26" s="3" t="s">
        <v>17</v>
      </c>
      <c r="H26" s="3" t="s">
        <v>18</v>
      </c>
      <c r="I26" s="6" t="s">
        <v>63</v>
      </c>
      <c r="J26" s="54" t="s">
        <v>62</v>
      </c>
      <c r="K26" s="12" t="s">
        <v>32</v>
      </c>
    </row>
    <row r="27" spans="2:20" x14ac:dyDescent="0.25">
      <c r="B27" s="3" t="s">
        <v>57</v>
      </c>
      <c r="C27" s="2">
        <f>$D$19*C4+C4*C10</f>
        <v>1184000</v>
      </c>
      <c r="D27" s="2">
        <f>$D$19*D4+D4*D10</f>
        <v>740000</v>
      </c>
      <c r="E27" s="2">
        <f t="shared" ref="E27:H27" si="2">$D$19*E4+E4*E10</f>
        <v>432000</v>
      </c>
      <c r="F27" s="2">
        <f t="shared" si="2"/>
        <v>594000</v>
      </c>
      <c r="G27" s="2">
        <f t="shared" si="2"/>
        <v>1120000</v>
      </c>
      <c r="H27" s="2">
        <f t="shared" si="2"/>
        <v>647500</v>
      </c>
      <c r="I27" s="7">
        <f>C19</f>
        <v>220000</v>
      </c>
      <c r="J27" s="46">
        <f>475000+0.165*I4</f>
        <v>710125</v>
      </c>
      <c r="K27" s="23">
        <f>I27+J27+SUM(C27:H27)</f>
        <v>5647625</v>
      </c>
    </row>
    <row r="28" spans="2:20" x14ac:dyDescent="0.25">
      <c r="Q28" s="39" t="s">
        <v>36</v>
      </c>
      <c r="R28" t="s">
        <v>40</v>
      </c>
      <c r="S28" t="s">
        <v>41</v>
      </c>
      <c r="T28" t="s">
        <v>42</v>
      </c>
    </row>
    <row r="29" spans="2:20" x14ac:dyDescent="0.25">
      <c r="R29" s="38" t="s">
        <v>48</v>
      </c>
      <c r="S29" s="38" t="s">
        <v>51</v>
      </c>
      <c r="T29" s="38" t="s">
        <v>50</v>
      </c>
    </row>
    <row r="30" spans="2:20" x14ac:dyDescent="0.25">
      <c r="Q30" t="s">
        <v>43</v>
      </c>
    </row>
    <row r="31" spans="2:20" x14ac:dyDescent="0.25">
      <c r="B31" s="69" t="s">
        <v>66</v>
      </c>
      <c r="C31" s="70"/>
      <c r="D31" s="70"/>
      <c r="E31" s="70"/>
      <c r="F31" s="70"/>
      <c r="G31" s="70"/>
      <c r="H31" s="71"/>
    </row>
    <row r="32" spans="2:20" x14ac:dyDescent="0.25">
      <c r="B32" s="1"/>
      <c r="C32" s="3" t="s">
        <v>13</v>
      </c>
      <c r="D32" s="3" t="s">
        <v>14</v>
      </c>
      <c r="E32" s="3" t="s">
        <v>15</v>
      </c>
      <c r="F32" s="3" t="s">
        <v>16</v>
      </c>
      <c r="G32" s="3" t="s">
        <v>17</v>
      </c>
      <c r="H32" s="3" t="s">
        <v>18</v>
      </c>
      <c r="I32" s="6" t="s">
        <v>33</v>
      </c>
      <c r="J32" s="6" t="s">
        <v>37</v>
      </c>
      <c r="L32" s="6" t="s">
        <v>4</v>
      </c>
      <c r="M32" s="3" t="s">
        <v>49</v>
      </c>
      <c r="N32" s="1" t="s">
        <v>65</v>
      </c>
      <c r="Q32" t="s">
        <v>44</v>
      </c>
    </row>
    <row r="33" spans="2:20" ht="15.75" x14ac:dyDescent="0.25">
      <c r="B33" s="42" t="s">
        <v>55</v>
      </c>
      <c r="C33" s="46">
        <v>576000</v>
      </c>
      <c r="D33" s="46">
        <v>360000</v>
      </c>
      <c r="E33" s="46">
        <v>0</v>
      </c>
      <c r="F33" s="46">
        <v>0</v>
      </c>
      <c r="G33" s="46">
        <v>0</v>
      </c>
      <c r="H33" s="46">
        <v>0</v>
      </c>
      <c r="I33" s="2">
        <v>1</v>
      </c>
      <c r="J33" s="46">
        <f>SUM(C33:H33)</f>
        <v>936000</v>
      </c>
      <c r="K33" s="38" t="s">
        <v>38</v>
      </c>
      <c r="L33" s="1">
        <v>2000000</v>
      </c>
      <c r="M33" s="2">
        <f>500000000*I33</f>
        <v>500000000</v>
      </c>
      <c r="N33" s="2">
        <f>475000*I33+0.165*J33</f>
        <v>629440</v>
      </c>
    </row>
    <row r="34" spans="2:20" ht="15.75" x14ac:dyDescent="0.25">
      <c r="B34" s="42" t="s">
        <v>56</v>
      </c>
      <c r="C34" s="46">
        <v>0</v>
      </c>
      <c r="D34" s="46">
        <v>0</v>
      </c>
      <c r="E34" s="46">
        <v>0</v>
      </c>
      <c r="F34" s="46">
        <v>0</v>
      </c>
      <c r="G34" s="46">
        <v>0</v>
      </c>
      <c r="H34" s="46">
        <v>0</v>
      </c>
      <c r="I34" s="2">
        <v>0</v>
      </c>
      <c r="J34" s="46">
        <f t="shared" ref="J34:J37" si="3">SUM(C34:H34)</f>
        <v>0</v>
      </c>
      <c r="K34" s="38" t="s">
        <v>38</v>
      </c>
      <c r="L34" s="1">
        <v>2000000</v>
      </c>
      <c r="M34" s="2">
        <f t="shared" ref="M34:M37" si="4">500000000*I34</f>
        <v>0</v>
      </c>
      <c r="N34" s="2">
        <f>475000*I34+0.165*J34</f>
        <v>0</v>
      </c>
      <c r="R34" s="38" t="s">
        <v>52</v>
      </c>
      <c r="S34" s="38" t="s">
        <v>38</v>
      </c>
      <c r="T34" s="38" t="s">
        <v>46</v>
      </c>
    </row>
    <row r="35" spans="2:20" ht="15.75" x14ac:dyDescent="0.25">
      <c r="B35" s="42" t="s">
        <v>57</v>
      </c>
      <c r="C35" s="46">
        <v>0</v>
      </c>
      <c r="D35" s="46">
        <v>0</v>
      </c>
      <c r="E35" s="46">
        <v>288000</v>
      </c>
      <c r="F35" s="46">
        <v>395998.60492450651</v>
      </c>
      <c r="G35" s="46">
        <v>61.604883727719859</v>
      </c>
      <c r="H35" s="46">
        <v>0</v>
      </c>
      <c r="I35" s="2">
        <v>1</v>
      </c>
      <c r="J35" s="46">
        <f t="shared" si="3"/>
        <v>684060.20980823424</v>
      </c>
      <c r="K35" s="38" t="s">
        <v>38</v>
      </c>
      <c r="L35" s="1">
        <v>2000000</v>
      </c>
      <c r="M35" s="2">
        <f t="shared" si="4"/>
        <v>500000000</v>
      </c>
      <c r="N35" s="2">
        <f t="shared" ref="N34:N37" si="5">475000*I35+0.165*J35</f>
        <v>587869.93461835862</v>
      </c>
      <c r="R35" s="38" t="s">
        <v>52</v>
      </c>
      <c r="S35" s="38" t="s">
        <v>38</v>
      </c>
      <c r="T35" s="38" t="s">
        <v>47</v>
      </c>
    </row>
    <row r="36" spans="2:20" ht="15.75" x14ac:dyDescent="0.25">
      <c r="B36" s="42" t="s">
        <v>8</v>
      </c>
      <c r="C36" s="46">
        <v>0</v>
      </c>
      <c r="D36" s="46">
        <v>0</v>
      </c>
      <c r="E36" s="46">
        <v>0</v>
      </c>
      <c r="F36" s="46">
        <v>0</v>
      </c>
      <c r="G36" s="46">
        <v>0</v>
      </c>
      <c r="H36" s="46">
        <v>0</v>
      </c>
      <c r="I36" s="2">
        <v>0</v>
      </c>
      <c r="J36" s="46">
        <f t="shared" si="3"/>
        <v>0</v>
      </c>
      <c r="K36" s="38" t="s">
        <v>38</v>
      </c>
      <c r="L36" s="1">
        <v>2000000</v>
      </c>
      <c r="M36" s="2">
        <f t="shared" si="4"/>
        <v>0</v>
      </c>
      <c r="N36" s="2">
        <f t="shared" si="5"/>
        <v>0</v>
      </c>
      <c r="R36" s="38" t="s">
        <v>45</v>
      </c>
      <c r="S36" s="38" t="s">
        <v>39</v>
      </c>
      <c r="T36" s="38" t="s">
        <v>53</v>
      </c>
    </row>
    <row r="37" spans="2:20" ht="15.75" x14ac:dyDescent="0.25">
      <c r="B37" s="42" t="s">
        <v>58</v>
      </c>
      <c r="C37" s="46">
        <v>0</v>
      </c>
      <c r="D37" s="46">
        <v>0</v>
      </c>
      <c r="E37" s="46">
        <v>0</v>
      </c>
      <c r="F37" s="46">
        <v>0</v>
      </c>
      <c r="G37" s="46">
        <v>0</v>
      </c>
      <c r="H37" s="46">
        <v>0</v>
      </c>
      <c r="I37" s="2">
        <v>0</v>
      </c>
      <c r="J37" s="46">
        <f t="shared" si="3"/>
        <v>0</v>
      </c>
      <c r="K37" s="38" t="s">
        <v>38</v>
      </c>
      <c r="L37" s="1">
        <v>2000000</v>
      </c>
      <c r="M37" s="2">
        <f t="shared" si="4"/>
        <v>0</v>
      </c>
      <c r="N37" s="2">
        <f t="shared" si="5"/>
        <v>0</v>
      </c>
      <c r="R37" s="38"/>
      <c r="S37" s="38"/>
      <c r="T37" s="38"/>
    </row>
    <row r="38" spans="2:20" x14ac:dyDescent="0.25">
      <c r="C38" s="51">
        <f>SUM(C33:C37)</f>
        <v>576000</v>
      </c>
      <c r="D38" s="51">
        <f t="shared" ref="D38" si="6">SUM(D33:D37)</f>
        <v>360000</v>
      </c>
      <c r="E38" s="51">
        <f t="shared" ref="E38" si="7">SUM(E33:E37)</f>
        <v>288000</v>
      </c>
      <c r="F38" s="51">
        <f t="shared" ref="F38" si="8">SUM(F33:F37)</f>
        <v>395998.60492450651</v>
      </c>
      <c r="G38" s="51">
        <f t="shared" ref="G38" si="9">SUM(G33:G37)</f>
        <v>61.604883727719859</v>
      </c>
      <c r="H38" s="51">
        <f t="shared" ref="H38" si="10">SUM(H33:H37)</f>
        <v>0</v>
      </c>
      <c r="I38" s="49"/>
      <c r="M38" s="2" t="s">
        <v>19</v>
      </c>
      <c r="N38" s="50">
        <f>SUM(N33:N37)</f>
        <v>1217309.9346183585</v>
      </c>
    </row>
    <row r="39" spans="2:20" x14ac:dyDescent="0.25">
      <c r="C39" s="38" t="s">
        <v>39</v>
      </c>
      <c r="D39" s="38" t="s">
        <v>39</v>
      </c>
      <c r="E39" s="38" t="s">
        <v>39</v>
      </c>
      <c r="F39" s="38" t="s">
        <v>39</v>
      </c>
      <c r="G39" s="38" t="s">
        <v>39</v>
      </c>
      <c r="H39" s="38" t="s">
        <v>39</v>
      </c>
    </row>
    <row r="40" spans="2:20" ht="15.75" x14ac:dyDescent="0.25">
      <c r="B40" s="6" t="s">
        <v>35</v>
      </c>
      <c r="C40" s="43">
        <v>320000</v>
      </c>
      <c r="D40" s="43">
        <v>200000</v>
      </c>
      <c r="E40" s="43">
        <v>160000</v>
      </c>
      <c r="F40" s="43">
        <v>220000</v>
      </c>
      <c r="G40" s="43">
        <v>350000</v>
      </c>
      <c r="H40" s="43">
        <v>175000</v>
      </c>
    </row>
    <row r="42" spans="2:20" x14ac:dyDescent="0.25">
      <c r="B42" s="15" t="s">
        <v>36</v>
      </c>
      <c r="C42" s="46"/>
    </row>
    <row r="45" spans="2:20" x14ac:dyDescent="0.25">
      <c r="B45" s="69" t="s">
        <v>67</v>
      </c>
      <c r="C45" s="70"/>
      <c r="D45" s="70"/>
      <c r="E45" s="70"/>
      <c r="F45" s="70"/>
      <c r="G45" s="70"/>
      <c r="H45" s="71"/>
    </row>
    <row r="46" spans="2:20" x14ac:dyDescent="0.25">
      <c r="B46" s="1"/>
      <c r="C46" s="3" t="s">
        <v>13</v>
      </c>
      <c r="D46" s="3" t="s">
        <v>14</v>
      </c>
      <c r="E46" s="3" t="s">
        <v>15</v>
      </c>
      <c r="F46" s="3" t="s">
        <v>16</v>
      </c>
      <c r="G46" s="3" t="s">
        <v>17</v>
      </c>
      <c r="H46" s="3" t="s">
        <v>18</v>
      </c>
      <c r="I46" s="12" t="s">
        <v>33</v>
      </c>
      <c r="J46" s="6" t="s">
        <v>37</v>
      </c>
      <c r="L46" s="6" t="s">
        <v>4</v>
      </c>
      <c r="M46" s="3" t="s">
        <v>49</v>
      </c>
      <c r="N46" s="1" t="s">
        <v>65</v>
      </c>
      <c r="Q46" t="s">
        <v>44</v>
      </c>
    </row>
    <row r="47" spans="2:20" ht="15.75" x14ac:dyDescent="0.25">
      <c r="B47" s="42" t="s">
        <v>55</v>
      </c>
      <c r="C47" s="46">
        <v>0</v>
      </c>
      <c r="D47" s="46">
        <v>0</v>
      </c>
      <c r="E47" s="46">
        <v>0</v>
      </c>
      <c r="F47" s="46">
        <v>0</v>
      </c>
      <c r="G47" s="46">
        <v>0</v>
      </c>
      <c r="H47" s="46">
        <v>0</v>
      </c>
      <c r="I47" s="2">
        <v>0</v>
      </c>
      <c r="J47" s="46">
        <f>SUM(C47:H47)</f>
        <v>0</v>
      </c>
      <c r="K47" s="38" t="s">
        <v>38</v>
      </c>
      <c r="L47" s="1">
        <v>4000000</v>
      </c>
      <c r="M47" s="2">
        <f>500000000*I47</f>
        <v>0</v>
      </c>
      <c r="N47" s="2">
        <f>475000*I47+0.165*J47</f>
        <v>0</v>
      </c>
    </row>
    <row r="48" spans="2:20" ht="15.75" x14ac:dyDescent="0.25">
      <c r="B48" s="42" t="s">
        <v>56</v>
      </c>
      <c r="C48" s="46">
        <v>0</v>
      </c>
      <c r="D48" s="46">
        <v>0</v>
      </c>
      <c r="E48" s="46">
        <v>0</v>
      </c>
      <c r="F48" s="46">
        <v>0</v>
      </c>
      <c r="G48" s="46">
        <v>0</v>
      </c>
      <c r="H48" s="46">
        <v>0</v>
      </c>
      <c r="I48" s="2">
        <v>0</v>
      </c>
      <c r="J48" s="46">
        <f t="shared" ref="J48:J51" si="11">SUM(C48:H48)</f>
        <v>0</v>
      </c>
      <c r="K48" s="38" t="s">
        <v>38</v>
      </c>
      <c r="L48" s="1">
        <v>4000000</v>
      </c>
      <c r="M48" s="2">
        <f t="shared" ref="M48:M51" si="12">500000000*I48</f>
        <v>0</v>
      </c>
      <c r="N48" s="2">
        <f t="shared" ref="N48:N51" si="13">475000*I48+0.165*J48</f>
        <v>0</v>
      </c>
      <c r="R48" s="38" t="s">
        <v>52</v>
      </c>
      <c r="S48" s="38" t="s">
        <v>38</v>
      </c>
      <c r="T48" s="38" t="s">
        <v>46</v>
      </c>
    </row>
    <row r="49" spans="2:20" ht="15.75" x14ac:dyDescent="0.25">
      <c r="B49" s="42" t="s">
        <v>57</v>
      </c>
      <c r="C49" s="46">
        <v>0</v>
      </c>
      <c r="D49" s="46">
        <v>0</v>
      </c>
      <c r="E49" s="46">
        <v>0</v>
      </c>
      <c r="F49" s="46">
        <v>0</v>
      </c>
      <c r="G49" s="46">
        <v>0</v>
      </c>
      <c r="H49" s="46">
        <v>0</v>
      </c>
      <c r="I49" s="2">
        <v>0</v>
      </c>
      <c r="J49" s="46">
        <f t="shared" si="11"/>
        <v>0</v>
      </c>
      <c r="K49" s="38" t="s">
        <v>38</v>
      </c>
      <c r="L49" s="1">
        <v>4000000</v>
      </c>
      <c r="M49" s="2">
        <f t="shared" si="12"/>
        <v>0</v>
      </c>
      <c r="N49" s="2">
        <f t="shared" si="13"/>
        <v>0</v>
      </c>
      <c r="R49" s="38" t="s">
        <v>52</v>
      </c>
      <c r="S49" s="38" t="s">
        <v>38</v>
      </c>
      <c r="T49" s="38" t="s">
        <v>47</v>
      </c>
    </row>
    <row r="50" spans="2:20" ht="15.75" x14ac:dyDescent="0.25">
      <c r="B50" s="42" t="s">
        <v>8</v>
      </c>
      <c r="C50" s="46">
        <v>0</v>
      </c>
      <c r="D50" s="46">
        <v>0</v>
      </c>
      <c r="E50" s="46">
        <v>0</v>
      </c>
      <c r="F50" s="46">
        <v>1.3950754944847281</v>
      </c>
      <c r="G50" s="46">
        <v>629938.39511627122</v>
      </c>
      <c r="H50" s="46">
        <v>315000</v>
      </c>
      <c r="I50" s="2">
        <v>1</v>
      </c>
      <c r="J50" s="46">
        <f t="shared" si="11"/>
        <v>944939.79019176576</v>
      </c>
      <c r="K50" s="38" t="s">
        <v>38</v>
      </c>
      <c r="L50" s="1">
        <v>4000000</v>
      </c>
      <c r="M50" s="2">
        <f t="shared" si="12"/>
        <v>500000000</v>
      </c>
      <c r="N50" s="2">
        <f t="shared" si="13"/>
        <v>630915.06538164138</v>
      </c>
      <c r="R50" s="38" t="s">
        <v>45</v>
      </c>
      <c r="S50" s="38" t="s">
        <v>39</v>
      </c>
      <c r="T50" s="38" t="s">
        <v>53</v>
      </c>
    </row>
    <row r="51" spans="2:20" ht="15.75" x14ac:dyDescent="0.25">
      <c r="B51" s="42" t="s">
        <v>58</v>
      </c>
      <c r="C51" s="46">
        <v>0</v>
      </c>
      <c r="D51" s="46">
        <v>0</v>
      </c>
      <c r="E51" s="46">
        <v>0</v>
      </c>
      <c r="F51" s="46">
        <v>0</v>
      </c>
      <c r="G51" s="46">
        <v>0</v>
      </c>
      <c r="H51" s="46">
        <v>0</v>
      </c>
      <c r="I51" s="2">
        <v>0</v>
      </c>
      <c r="J51" s="46">
        <f t="shared" si="11"/>
        <v>0</v>
      </c>
      <c r="K51" s="38" t="s">
        <v>38</v>
      </c>
      <c r="L51" s="1">
        <v>4000000</v>
      </c>
      <c r="M51" s="2">
        <f t="shared" si="12"/>
        <v>0</v>
      </c>
      <c r="N51" s="2">
        <f>475000*I51+0.165*J51</f>
        <v>0</v>
      </c>
      <c r="R51" s="38"/>
      <c r="S51" s="38"/>
      <c r="T51" s="38"/>
    </row>
    <row r="52" spans="2:20" x14ac:dyDescent="0.25">
      <c r="C52" s="51">
        <f>SUM(C47:C51,C38)</f>
        <v>576000</v>
      </c>
      <c r="D52" s="51">
        <f t="shared" ref="D52:H52" si="14">SUM(D47:D51,D38)</f>
        <v>360000</v>
      </c>
      <c r="E52" s="51">
        <f t="shared" si="14"/>
        <v>288000</v>
      </c>
      <c r="F52" s="51">
        <f t="shared" si="14"/>
        <v>396000.00000000099</v>
      </c>
      <c r="G52" s="51">
        <f t="shared" si="14"/>
        <v>629999.99999999895</v>
      </c>
      <c r="H52" s="51">
        <f t="shared" si="14"/>
        <v>315000</v>
      </c>
      <c r="I52" s="49"/>
      <c r="M52" s="2" t="s">
        <v>19</v>
      </c>
      <c r="N52" s="50">
        <f>SUM(N47:N51)</f>
        <v>630915.06538164138</v>
      </c>
    </row>
    <row r="53" spans="2:20" x14ac:dyDescent="0.25">
      <c r="C53" s="38" t="s">
        <v>39</v>
      </c>
      <c r="D53" s="38" t="s">
        <v>39</v>
      </c>
      <c r="E53" s="38" t="s">
        <v>39</v>
      </c>
      <c r="F53" s="38" t="s">
        <v>39</v>
      </c>
      <c r="G53" s="38" t="s">
        <v>39</v>
      </c>
      <c r="H53" s="38" t="s">
        <v>39</v>
      </c>
    </row>
    <row r="54" spans="2:20" ht="15.75" x14ac:dyDescent="0.25">
      <c r="B54" s="6" t="s">
        <v>35</v>
      </c>
      <c r="C54" s="43">
        <f>C4+C4*$W$10</f>
        <v>576000</v>
      </c>
      <c r="D54" s="43">
        <f t="shared" ref="D54:H54" si="15">D4+D4*$W$10</f>
        <v>360000</v>
      </c>
      <c r="E54" s="43">
        <f t="shared" si="15"/>
        <v>288000</v>
      </c>
      <c r="F54" s="43">
        <f t="shared" si="15"/>
        <v>396000</v>
      </c>
      <c r="G54" s="43">
        <f t="shared" si="15"/>
        <v>630000</v>
      </c>
      <c r="H54" s="43">
        <f t="shared" si="15"/>
        <v>315000</v>
      </c>
    </row>
    <row r="56" spans="2:20" x14ac:dyDescent="0.25">
      <c r="B56" s="15" t="s">
        <v>36</v>
      </c>
      <c r="C56" s="46"/>
    </row>
    <row r="59" spans="2:20" x14ac:dyDescent="0.25">
      <c r="B59" s="40" t="s">
        <v>68</v>
      </c>
      <c r="C59" s="46">
        <f>SUMPRODUCT(I33:I37,C17:C21)+SUMPRODUCT(I47:I51,F17:F21)+SUMPRODUCT(C8:H12,C33:H37)+SUMPRODUCT(C8:H12,C47:H51)+SUMPRODUCT(D17:D21,J33:J37)+SUMPRODUCT(G17:G21,J47:J51)+N38+N52</f>
        <v>9695724.9999999981</v>
      </c>
    </row>
  </sheetData>
  <mergeCells count="9">
    <mergeCell ref="U2:AA2"/>
    <mergeCell ref="B6:H6"/>
    <mergeCell ref="B25:K25"/>
    <mergeCell ref="B31:H31"/>
    <mergeCell ref="B45:H45"/>
    <mergeCell ref="B2:H2"/>
    <mergeCell ref="B14:H14"/>
    <mergeCell ref="C15:E15"/>
    <mergeCell ref="F15:H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CoolWipes (wipes)</vt:lpstr>
      <vt:lpstr>CoolWipes (Ointment)</vt:lpstr>
      <vt:lpstr>SportsStuff</vt:lpstr>
      <vt:lpstr>Sheet2</vt:lpstr>
      <vt:lpstr>Rough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2023-02-03T11:11:32Z</dcterms:modified>
</cp:coreProperties>
</file>