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37c13b27935c6975/SCLM 02/Session 02/"/>
    </mc:Choice>
  </mc:AlternateContent>
  <xr:revisionPtr revIDLastSave="25" documentId="11_64492CD833A8B47CABE10E0B00A06332751D6940" xr6:coauthVersionLast="47" xr6:coauthVersionMax="47" xr10:uidLastSave="{F5F7DC1A-697D-45A5-9BD3-344B7F5500C6}"/>
  <bookViews>
    <workbookView xWindow="-110" yWindow="-110" windowWidth="19420" windowHeight="10300" firstSheet="1" activeTab="3" xr2:uid="{00000000-000D-0000-FFFF-FFFF00000000}"/>
  </bookViews>
  <sheets>
    <sheet name="TN-1 Total Labor Requirements" sheetId="1" r:id="rId1"/>
    <sheet name="TN-2a Fall Labor Analysis" sheetId="2" r:id="rId2"/>
    <sheet name="TN-2b Spring Labor Analysis" sheetId="3" r:id="rId3"/>
    <sheet name="TN-3 Hire Two Add'l FT Workers" sheetId="4" r:id="rId4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9" i="4" l="1"/>
  <c r="C21" i="4"/>
  <c r="C20" i="4"/>
  <c r="N30" i="3"/>
  <c r="N29" i="3"/>
  <c r="C20" i="3"/>
  <c r="M42" i="2"/>
  <c r="M41" i="2"/>
  <c r="C45" i="2"/>
  <c r="C35" i="2"/>
  <c r="C24" i="2"/>
  <c r="C23" i="2"/>
  <c r="C5" i="2"/>
  <c r="D79" i="1"/>
  <c r="D78" i="1"/>
  <c r="J56" i="1"/>
  <c r="J55" i="1"/>
  <c r="J19" i="1"/>
  <c r="J18" i="1"/>
  <c r="F18" i="1"/>
  <c r="I8" i="1"/>
  <c r="M50" i="4"/>
  <c r="J56" i="4"/>
  <c r="M49" i="4"/>
  <c r="C47" i="4"/>
  <c r="C37" i="4"/>
  <c r="C38" i="4"/>
  <c r="C48" i="4"/>
  <c r="C49" i="4"/>
  <c r="C50" i="4"/>
  <c r="C52" i="4"/>
  <c r="C53" i="4"/>
  <c r="J53" i="4"/>
  <c r="M48" i="4"/>
  <c r="H51" i="4"/>
  <c r="H47" i="4"/>
  <c r="H48" i="4"/>
  <c r="H49" i="4"/>
  <c r="H50" i="4"/>
  <c r="H52" i="4"/>
  <c r="I51" i="4"/>
  <c r="I47" i="4"/>
  <c r="I48" i="4"/>
  <c r="I49" i="4"/>
  <c r="I50" i="4"/>
  <c r="I52" i="4"/>
  <c r="J52" i="4"/>
  <c r="M47" i="4"/>
  <c r="C19" i="4"/>
  <c r="C28" i="4"/>
  <c r="D19" i="4"/>
  <c r="D20" i="4"/>
  <c r="D21" i="4"/>
  <c r="D28" i="4"/>
  <c r="E19" i="4"/>
  <c r="E20" i="4"/>
  <c r="E21" i="4"/>
  <c r="E28" i="4"/>
  <c r="F19" i="4"/>
  <c r="F20" i="4"/>
  <c r="F21" i="4"/>
  <c r="F28" i="4"/>
  <c r="G19" i="4"/>
  <c r="G20" i="4"/>
  <c r="G21" i="4"/>
  <c r="G28" i="4"/>
  <c r="H19" i="4"/>
  <c r="H20" i="4"/>
  <c r="H21" i="4"/>
  <c r="H28" i="4"/>
  <c r="I19" i="4"/>
  <c r="I20" i="4"/>
  <c r="I21" i="4"/>
  <c r="I22" i="4"/>
  <c r="I28" i="4"/>
  <c r="J28" i="4"/>
  <c r="J34" i="3"/>
  <c r="C19" i="3"/>
  <c r="C5" i="3"/>
  <c r="C6" i="3"/>
  <c r="C22" i="2"/>
  <c r="C6" i="2"/>
  <c r="C34" i="2"/>
  <c r="D22" i="2"/>
  <c r="D23" i="2"/>
  <c r="D24" i="2"/>
  <c r="D34" i="2"/>
  <c r="H22" i="2"/>
  <c r="H23" i="2"/>
  <c r="H24" i="2"/>
  <c r="H34" i="2"/>
  <c r="I22" i="2"/>
  <c r="I23" i="2"/>
  <c r="I24" i="2"/>
  <c r="I25" i="2"/>
  <c r="I34" i="2"/>
  <c r="J34" i="2"/>
  <c r="D72" i="1"/>
  <c r="D38" i="1"/>
  <c r="F38" i="1"/>
  <c r="F39" i="1"/>
  <c r="F40" i="1"/>
  <c r="F41" i="1"/>
  <c r="F42" i="1"/>
  <c r="D73" i="1"/>
  <c r="F52" i="1"/>
  <c r="F56" i="1"/>
  <c r="F57" i="1"/>
  <c r="F59" i="1"/>
  <c r="F60" i="1"/>
  <c r="F61" i="1"/>
  <c r="F62" i="1"/>
  <c r="F63" i="1"/>
  <c r="F64" i="1"/>
  <c r="F65" i="1"/>
  <c r="F66" i="1"/>
  <c r="J53" i="1"/>
  <c r="J54" i="1"/>
  <c r="D74" i="1"/>
  <c r="D75" i="1"/>
  <c r="D76" i="1"/>
  <c r="D77" i="1"/>
  <c r="K43" i="3"/>
  <c r="K44" i="3"/>
  <c r="N41" i="3"/>
  <c r="C23" i="3"/>
  <c r="D23" i="3"/>
  <c r="E23" i="3"/>
  <c r="F23" i="3"/>
  <c r="G23" i="3"/>
  <c r="H23" i="3"/>
  <c r="I23" i="3"/>
  <c r="J23" i="3"/>
  <c r="N31" i="3"/>
  <c r="N32" i="3"/>
  <c r="C8" i="2"/>
  <c r="D45" i="2"/>
  <c r="E45" i="2"/>
  <c r="F45" i="2"/>
  <c r="G45" i="2"/>
  <c r="H45" i="2"/>
  <c r="I45" i="2"/>
  <c r="J45" i="2"/>
  <c r="C25" i="2"/>
  <c r="C40" i="2"/>
  <c r="C41" i="2"/>
  <c r="M33" i="2"/>
  <c r="M34" i="2"/>
  <c r="E47" i="4"/>
  <c r="E48" i="4"/>
  <c r="E49" i="4"/>
  <c r="E51" i="4"/>
  <c r="E54" i="4"/>
  <c r="E55" i="4"/>
  <c r="F47" i="4"/>
  <c r="F48" i="4"/>
  <c r="F49" i="4"/>
  <c r="F51" i="4"/>
  <c r="F54" i="4"/>
  <c r="F55" i="4"/>
  <c r="G47" i="4"/>
  <c r="G48" i="4"/>
  <c r="G49" i="4"/>
  <c r="G51" i="4"/>
  <c r="G54" i="4"/>
  <c r="G55" i="4"/>
  <c r="J55" i="4"/>
  <c r="J60" i="4"/>
  <c r="D47" i="4"/>
  <c r="D48" i="4"/>
  <c r="D49" i="4"/>
  <c r="D51" i="4"/>
  <c r="D54" i="4"/>
  <c r="H54" i="4"/>
  <c r="I54" i="4"/>
  <c r="C54" i="4"/>
  <c r="J54" i="4"/>
  <c r="G53" i="3"/>
  <c r="G52" i="3"/>
  <c r="I45" i="3"/>
  <c r="H45" i="3"/>
  <c r="G45" i="3"/>
  <c r="F45" i="3"/>
  <c r="E45" i="3"/>
  <c r="D45" i="3"/>
  <c r="C45" i="3"/>
  <c r="C21" i="3"/>
  <c r="C24" i="3"/>
  <c r="C29" i="3"/>
  <c r="J35" i="3"/>
  <c r="C7" i="4"/>
  <c r="F27" i="1"/>
  <c r="I9" i="1"/>
  <c r="C9" i="2"/>
  <c r="C10" i="2"/>
  <c r="I26" i="2"/>
  <c r="H26" i="2"/>
  <c r="G26" i="2"/>
  <c r="F26" i="2"/>
  <c r="E26" i="2"/>
  <c r="D26" i="2"/>
  <c r="C26" i="2"/>
  <c r="G24" i="2"/>
  <c r="F24" i="2"/>
  <c r="E24" i="2"/>
  <c r="J26" i="2"/>
  <c r="D19" i="3"/>
  <c r="E19" i="3"/>
  <c r="F19" i="3"/>
  <c r="G19" i="3"/>
  <c r="H19" i="3"/>
  <c r="I19" i="3"/>
  <c r="J19" i="3"/>
  <c r="D30" i="1"/>
  <c r="F30" i="1"/>
  <c r="F29" i="1"/>
  <c r="F28" i="1"/>
  <c r="F26" i="1"/>
  <c r="F25" i="1"/>
  <c r="F24" i="1"/>
  <c r="F23" i="1"/>
  <c r="F20" i="1"/>
  <c r="F19" i="1"/>
  <c r="F31" i="1"/>
  <c r="C68" i="4"/>
  <c r="J46" i="4"/>
  <c r="I23" i="4"/>
  <c r="H23" i="4"/>
  <c r="G23" i="4"/>
  <c r="F23" i="4"/>
  <c r="E23" i="4"/>
  <c r="D23" i="4"/>
  <c r="C23" i="4"/>
  <c r="J18" i="4"/>
  <c r="D20" i="3"/>
  <c r="D21" i="3"/>
  <c r="D24" i="3"/>
  <c r="E20" i="3"/>
  <c r="E21" i="3"/>
  <c r="E24" i="3"/>
  <c r="F20" i="3"/>
  <c r="F21" i="3"/>
  <c r="F24" i="3"/>
  <c r="J30" i="3"/>
  <c r="H41" i="3"/>
  <c r="H46" i="3"/>
  <c r="G41" i="3"/>
  <c r="G46" i="3"/>
  <c r="F41" i="3"/>
  <c r="F46" i="3"/>
  <c r="E41" i="3"/>
  <c r="E46" i="3"/>
  <c r="D41" i="3"/>
  <c r="D46" i="3"/>
  <c r="C41" i="3"/>
  <c r="C46" i="3"/>
  <c r="I21" i="3"/>
  <c r="H21" i="3"/>
  <c r="G21" i="3"/>
  <c r="J18" i="3"/>
  <c r="G50" i="4"/>
  <c r="D50" i="4"/>
  <c r="F50" i="4"/>
  <c r="J20" i="1"/>
  <c r="J19" i="4"/>
  <c r="J49" i="4"/>
  <c r="J51" i="4"/>
  <c r="J47" i="4"/>
  <c r="J23" i="4"/>
  <c r="J21" i="4"/>
  <c r="J21" i="3"/>
  <c r="G20" i="3"/>
  <c r="I20" i="3"/>
  <c r="H20" i="3"/>
  <c r="J48" i="4"/>
  <c r="E50" i="4"/>
  <c r="F24" i="4"/>
  <c r="F22" i="4"/>
  <c r="H24" i="4"/>
  <c r="H22" i="4"/>
  <c r="J20" i="4"/>
  <c r="C24" i="4"/>
  <c r="C22" i="4"/>
  <c r="G24" i="4"/>
  <c r="G22" i="4"/>
  <c r="D24" i="4"/>
  <c r="D22" i="4"/>
  <c r="E24" i="4"/>
  <c r="E22" i="4"/>
  <c r="I24" i="4"/>
  <c r="D22" i="3"/>
  <c r="F22" i="3"/>
  <c r="J20" i="3"/>
  <c r="C22" i="3"/>
  <c r="I24" i="3"/>
  <c r="I22" i="3"/>
  <c r="I41" i="3"/>
  <c r="E22" i="3"/>
  <c r="H22" i="3"/>
  <c r="H24" i="3"/>
  <c r="G24" i="3"/>
  <c r="G22" i="3"/>
  <c r="J41" i="3"/>
  <c r="N40" i="3"/>
  <c r="N42" i="3"/>
  <c r="I46" i="3"/>
  <c r="J46" i="3"/>
  <c r="J50" i="4"/>
  <c r="M51" i="4"/>
  <c r="C72" i="4"/>
  <c r="J22" i="4"/>
  <c r="J24" i="4"/>
  <c r="C71" i="4"/>
  <c r="J24" i="3"/>
  <c r="J22" i="3"/>
  <c r="J29" i="3"/>
  <c r="G22" i="2"/>
  <c r="F22" i="2"/>
  <c r="E22" i="2"/>
  <c r="J21" i="2"/>
  <c r="F43" i="1"/>
  <c r="C73" i="4"/>
  <c r="C74" i="4"/>
  <c r="J37" i="1"/>
  <c r="J38" i="1"/>
  <c r="J24" i="2"/>
  <c r="I27" i="2"/>
  <c r="H27" i="2"/>
  <c r="E23" i="2"/>
  <c r="E27" i="2"/>
  <c r="F23" i="2"/>
  <c r="F27" i="2"/>
  <c r="C27" i="2"/>
  <c r="G23" i="2"/>
  <c r="G27" i="2"/>
  <c r="D27" i="2"/>
  <c r="J22" i="2"/>
  <c r="J27" i="2"/>
  <c r="J39" i="1"/>
  <c r="J57" i="1"/>
  <c r="J23" i="2"/>
  <c r="F25" i="2"/>
  <c r="F40" i="2"/>
  <c r="F41" i="2"/>
  <c r="F46" i="2"/>
  <c r="D25" i="2"/>
  <c r="D40" i="2"/>
  <c r="D41" i="2"/>
  <c r="D46" i="2"/>
  <c r="E25" i="2"/>
  <c r="E40" i="2"/>
  <c r="E41" i="2"/>
  <c r="E46" i="2"/>
  <c r="G25" i="2"/>
  <c r="G40" i="2"/>
  <c r="G41" i="2"/>
  <c r="G46" i="2"/>
  <c r="H25" i="2"/>
  <c r="H40" i="2"/>
  <c r="H41" i="2"/>
  <c r="H46" i="2"/>
  <c r="C46" i="2"/>
  <c r="I40" i="2"/>
  <c r="J25" i="2"/>
  <c r="J40" i="2"/>
  <c r="I41" i="2"/>
  <c r="D80" i="1"/>
  <c r="M43" i="2"/>
  <c r="I46" i="2"/>
  <c r="J46" i="2"/>
  <c r="J41" i="2"/>
</calcChain>
</file>

<file path=xl/sharedStrings.xml><?xml version="1.0" encoding="utf-8"?>
<sst xmlns="http://schemas.openxmlformats.org/spreadsheetml/2006/main" count="298" uniqueCount="159">
  <si>
    <t>Total</t>
  </si>
  <si>
    <t>Subtotal</t>
  </si>
  <si>
    <t>Powerwash:</t>
  </si>
  <si>
    <t>Haul out:</t>
  </si>
  <si>
    <t>&amp; store</t>
  </si>
  <si>
    <t>Outside</t>
  </si>
  <si>
    <t>Inside</t>
  </si>
  <si>
    <t>Drop cloth</t>
  </si>
  <si>
    <t>Task</t>
  </si>
  <si>
    <t>Prep new boats</t>
  </si>
  <si>
    <t xml:space="preserve">Number </t>
  </si>
  <si>
    <t>Paint new boats</t>
  </si>
  <si>
    <t>Wax</t>
  </si>
  <si>
    <t>Summerize</t>
  </si>
  <si>
    <t>Clean</t>
  </si>
  <si>
    <t>Launch</t>
  </si>
  <si>
    <t>Grand total</t>
  </si>
  <si>
    <t>Summary of labor requirements</t>
  </si>
  <si>
    <t>Fall</t>
  </si>
  <si>
    <t>Winter</t>
  </si>
  <si>
    <t>Spring</t>
  </si>
  <si>
    <t>Surplus labor capacity</t>
  </si>
  <si>
    <t xml:space="preserve">Shrink wrap </t>
  </si>
  <si>
    <t>Fall Labor Analysis</t>
  </si>
  <si>
    <t>hours</t>
  </si>
  <si>
    <t>Average direct labor/boat</t>
  </si>
  <si>
    <t>Total per boat</t>
  </si>
  <si>
    <t>Week</t>
  </si>
  <si>
    <t>Overtime rate (50%)</t>
  </si>
  <si>
    <t>Number of boats</t>
  </si>
  <si>
    <t>Workers and Wages</t>
  </si>
  <si>
    <t>Alternative 1: Work Overtime</t>
  </si>
  <si>
    <t>Total direct hours</t>
  </si>
  <si>
    <t>Repairs/mods (30%)</t>
  </si>
  <si>
    <t>Clean new boats</t>
  </si>
  <si>
    <t xml:space="preserve"> </t>
  </si>
  <si>
    <t>Spring Labor Analysis</t>
  </si>
  <si>
    <t>Percent of boats</t>
  </si>
  <si>
    <t>Labor hours required</t>
  </si>
  <si>
    <t>Available hours regular</t>
  </si>
  <si>
    <t>Additional hours needed</t>
  </si>
  <si>
    <t>Available hours OT</t>
  </si>
  <si>
    <t>Overtime hours worked</t>
  </si>
  <si>
    <t>Avail hrs regular</t>
  </si>
  <si>
    <t>Extra Hours Needed</t>
  </si>
  <si>
    <t>Additional hours worked</t>
  </si>
  <si>
    <t>Full-time Employees</t>
  </si>
  <si>
    <t>Cost of dissatisfied customer</t>
  </si>
  <si>
    <t>Number of boats stored</t>
  </si>
  <si>
    <t>Percent</t>
  </si>
  <si>
    <t>Total direct hours (320 boats)</t>
  </si>
  <si>
    <t>Engines</t>
  </si>
  <si>
    <t>Stabilize Fuel and Grease Steering</t>
  </si>
  <si>
    <t>Drain Water Systems/Add Antifreeze</t>
  </si>
  <si>
    <t>Overtime Hours Worked</t>
  </si>
  <si>
    <t>Incremental Costs</t>
  </si>
  <si>
    <t>Costs</t>
  </si>
  <si>
    <t>Without Two Additional Workers</t>
  </si>
  <si>
    <t>With Two Additional Workers</t>
  </si>
  <si>
    <t>Savings</t>
  </si>
  <si>
    <t>Dissatisfied Customer Cost</t>
  </si>
  <si>
    <t>Full-time employees</t>
  </si>
  <si>
    <t>Regular rate (w/ benefits)</t>
  </si>
  <si>
    <t>Incremental Cost</t>
  </si>
  <si>
    <t>Cost of new employees (18 + 3.60)</t>
  </si>
  <si>
    <t>Indirect labor/boat (21.4%)</t>
  </si>
  <si>
    <t xml:space="preserve">Weekly hours per employee </t>
  </si>
  <si>
    <t>Indirect rate 15/70</t>
  </si>
  <si>
    <t>Overhead rate 15/70</t>
  </si>
  <si>
    <t>Boats</t>
  </si>
  <si>
    <t>Direct hours per boat</t>
  </si>
  <si>
    <t>Labor</t>
  </si>
  <si>
    <t>Hours</t>
  </si>
  <si>
    <t>Flush Systems</t>
  </si>
  <si>
    <t>Paint</t>
  </si>
  <si>
    <t># Engines</t>
  </si>
  <si>
    <t>Fall Labor Requirements: Average/Boat</t>
  </si>
  <si>
    <t>Winterize engines</t>
  </si>
  <si>
    <t>Winter Labor Requirements</t>
  </si>
  <si>
    <t>Spring Labor Requirements</t>
  </si>
  <si>
    <t>Wax and Install electronics</t>
  </si>
  <si>
    <t>Overtime rate  (w/benefits)</t>
  </si>
  <si>
    <t>Overtime rate (with benefits)</t>
  </si>
  <si>
    <t>New full-time employees</t>
  </si>
  <si>
    <t>OT hours - full-time workers</t>
  </si>
  <si>
    <t>OT hours - new full-time workers</t>
  </si>
  <si>
    <t>Overtime hours - full-time</t>
  </si>
  <si>
    <t>Overtime hours - new</t>
  </si>
  <si>
    <t xml:space="preserve">Overtime rate </t>
  </si>
  <si>
    <t>Full Overtime</t>
  </si>
  <si>
    <t>Alternative 2: Hire Seasonal Workers</t>
  </si>
  <si>
    <t>Total indirect hours</t>
  </si>
  <si>
    <t>Total hours</t>
  </si>
  <si>
    <t>Boats not stored at Cataumet</t>
  </si>
  <si>
    <t>TN-1: Total Labor Rquirements</t>
  </si>
  <si>
    <t>Overtime rate new full-time employees</t>
  </si>
  <si>
    <t>Boats stored at Cataumet</t>
  </si>
  <si>
    <t>Seasonal employees (w/benefits)</t>
  </si>
  <si>
    <t>TN-2a: Fall Labor Analysis</t>
  </si>
  <si>
    <t>TN-2b: Spring Labor Analysis</t>
  </si>
  <si>
    <t>Seasonal workers (w/benefits)</t>
  </si>
  <si>
    <t>Alternative 1: Work Overtime and Hire Seasonal Workers</t>
  </si>
  <si>
    <t>100% more for seasonal workers</t>
  </si>
  <si>
    <t>Number seasonal workers needed</t>
  </si>
  <si>
    <t>Number hired</t>
  </si>
  <si>
    <t>Number terminated</t>
  </si>
  <si>
    <t xml:space="preserve">Number Hired </t>
  </si>
  <si>
    <t>Number Terminated</t>
  </si>
  <si>
    <t>Overtime costs</t>
  </si>
  <si>
    <t>Seasonal labor costs</t>
  </si>
  <si>
    <t>Incremental costs</t>
  </si>
  <si>
    <t>Incremental cost</t>
  </si>
  <si>
    <t>Regular rate (with benefits)</t>
  </si>
  <si>
    <t>Dissatisfied customer cost</t>
  </si>
  <si>
    <t>TN-3: Hire Two Additional Full-Time Workers</t>
  </si>
  <si>
    <t>Labor hours Rrequired</t>
  </si>
  <si>
    <t>Available hours (regular)</t>
  </si>
  <si>
    <t>Available hours (overtime)</t>
  </si>
  <si>
    <t>Extra hours needed</t>
  </si>
  <si>
    <t>Labor hours needed</t>
  </si>
  <si>
    <t xml:space="preserve">Total </t>
  </si>
  <si>
    <t>Assumes overtime is worked by senior workers at $34.00/hour</t>
  </si>
  <si>
    <t>No. of seasonal workers needed</t>
  </si>
  <si>
    <t>No. of seasonal hours worked</t>
  </si>
  <si>
    <t>Hire/terminate costs</t>
  </si>
  <si>
    <t xml:space="preserve">Additional seasonal hours worked </t>
  </si>
  <si>
    <t>No.  seasonal workers needed</t>
  </si>
  <si>
    <t>Direct hours per boat:</t>
  </si>
  <si>
    <t>Total indirect hours (320 boats)</t>
  </si>
  <si>
    <t>includes 60 outside boats</t>
  </si>
  <si>
    <t>Overhead labor hours</t>
  </si>
  <si>
    <t>Total annual labor hors needed</t>
  </si>
  <si>
    <t xml:space="preserve">Total full time labor hours available </t>
  </si>
  <si>
    <t>Indirect labor hours</t>
  </si>
  <si>
    <t>Summary</t>
  </si>
  <si>
    <t>Use overtime/hire seasonal labor</t>
  </si>
  <si>
    <t>Hire seasonal labor for extra work</t>
  </si>
  <si>
    <t>Hiring/termination costs</t>
  </si>
  <si>
    <t>Seasonal  employees (w/benefits)</t>
  </si>
  <si>
    <t>Seasonal workers hours</t>
  </si>
  <si>
    <t>111 hours worked by Pete and Mike combined</t>
  </si>
  <si>
    <t>154 hours worked by Pete and Mike combined</t>
  </si>
  <si>
    <t xml:space="preserve">Total indirect hours </t>
  </si>
  <si>
    <t>117 hours worked by Pete and Mike</t>
  </si>
  <si>
    <t>78 hours worked by Pete and Mike</t>
  </si>
  <si>
    <t>60 hours worked by Pete and Mike</t>
  </si>
  <si>
    <t>Overtime rate full-time employees</t>
  </si>
  <si>
    <t>Seasonal workers wage (benefits included)</t>
  </si>
  <si>
    <t>Employee efficiencies:  Seasonal workers take 100% longer (twice as long)</t>
  </si>
  <si>
    <t>Strategy</t>
  </si>
  <si>
    <t>Total per boat (Hour)</t>
  </si>
  <si>
    <t>Indirect labor/boat (21.4%) (Hour)</t>
  </si>
  <si>
    <t>Average direct labor/boat (Hour)</t>
  </si>
  <si>
    <t xml:space="preserve">Total Incremental costs  </t>
  </si>
  <si>
    <t>Fall Labor requirement</t>
  </si>
  <si>
    <t>Winter Labor requirement</t>
  </si>
  <si>
    <t>Spring Labor requirement</t>
  </si>
  <si>
    <t>Hourly wage with benefits</t>
  </si>
  <si>
    <t>Hourly wage for two new employees benefits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</si>
</sst>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64" formatCode="&quot;$&quot;#,##0_);\(&quot;$&quot;#,##0\)"/>
    <numFmt numFmtId="165" formatCode="&quot;$&quot;#,##0_);[Red]\(&quot;$&quot;#,##0\)"/>
    <numFmt numFmtId="166" formatCode="&quot;$&quot;#,##0.00_);[Red]\(&quot;$&quot;#,##0.00\)"/>
    <numFmt numFmtId="167" formatCode="_(&quot;$&quot;* #,##0_);_(&quot;$&quot;* \(#,##0\);_(&quot;$&quot;* &quot;-&quot;_);_(@_)"/>
    <numFmt numFmtId="168" formatCode="_(&quot;$&quot;* #,##0.00_);_(&quot;$&quot;* \(#,##0.00\);_(&quot;$&quot;* &quot;-&quot;??_);_(@_)"/>
    <numFmt numFmtId="169" formatCode="_(* #,##0.00_);_(* \(#,##0.00\);_(* &quot;-&quot;??_);_(@_)"/>
    <numFmt numFmtId="170" formatCode="0.0%"/>
    <numFmt numFmtId="171" formatCode="0.0"/>
    <numFmt numFmtId="172" formatCode="_(* #,##0_);_(* \(#,##0\);_(* &quot;-&quot;??_);_(@_)"/>
    <numFmt numFmtId="173" formatCode="_(&quot;$&quot;* #,##0_);_(&quot;$&quot;* \(#,##0\);_(&quot;$&quot;* &quot;-&quot;??_);_(@_)"/>
    <numFmt numFmtId="174" formatCode="&quot;$&quot;#,##0"/>
    <numFmt numFmtId="175" formatCode="0.000"/>
    <numFmt numFmtId="176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Book Antiqua"/>
      <family val="1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9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7">
    <xf numFmtId="0" fontId="0" fillId="0" borderId="0" xfId="0"/>
    <xf numFmtId="171" fontId="2" fillId="0" borderId="0" xfId="0" applyNumberFormat="1" applyFont="1"/>
    <xf numFmtId="168" fontId="2" fillId="0" borderId="0" xfId="2" applyFont="1"/>
    <xf numFmtId="165" fontId="3" fillId="0" borderId="1" xfId="0" applyNumberFormat="1" applyFont="1" applyBorder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5" fontId="2" fillId="0" borderId="0" xfId="0" applyNumberFormat="1" applyFont="1"/>
    <xf numFmtId="167" fontId="2" fillId="0" borderId="0" xfId="0" applyNumberFormat="1" applyFont="1"/>
    <xf numFmtId="0" fontId="2" fillId="0" borderId="0" xfId="0" applyFont="1"/>
    <xf numFmtId="170" fontId="2" fillId="0" borderId="0" xfId="3" applyNumberFormat="1" applyFont="1"/>
    <xf numFmtId="172" fontId="2" fillId="0" borderId="0" xfId="1" applyNumberFormat="1" applyFont="1"/>
    <xf numFmtId="1" fontId="2" fillId="0" borderId="0" xfId="0" applyNumberFormat="1" applyFont="1"/>
    <xf numFmtId="0" fontId="5" fillId="0" borderId="0" xfId="0" applyFont="1"/>
    <xf numFmtId="0" fontId="2" fillId="0" borderId="0" xfId="3" applyNumberFormat="1" applyFont="1"/>
    <xf numFmtId="1" fontId="2" fillId="0" borderId="0" xfId="3" applyNumberFormat="1" applyFo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/>
    <xf numFmtId="174" fontId="2" fillId="0" borderId="0" xfId="0" applyNumberFormat="1" applyFont="1"/>
    <xf numFmtId="173" fontId="2" fillId="0" borderId="0" xfId="0" applyNumberFormat="1" applyFont="1"/>
    <xf numFmtId="0" fontId="2" fillId="0" borderId="0" xfId="0" applyFont="1"/>
    <xf numFmtId="0" fontId="2" fillId="0" borderId="2" xfId="0" applyFont="1" applyBorder="1"/>
    <xf numFmtId="171" fontId="2" fillId="0" borderId="2" xfId="0" applyNumberFormat="1" applyFont="1" applyBorder="1"/>
    <xf numFmtId="173" fontId="2" fillId="0" borderId="2" xfId="2" applyNumberFormat="1" applyFont="1" applyBorder="1"/>
    <xf numFmtId="0" fontId="2" fillId="0" borderId="2" xfId="0" applyFont="1" applyBorder="1" applyAlignment="1">
      <alignment horizontal="center"/>
    </xf>
    <xf numFmtId="168" fontId="2" fillId="0" borderId="2" xfId="2" applyFont="1" applyBorder="1"/>
    <xf numFmtId="168" fontId="2" fillId="0" borderId="2" xfId="0" applyNumberFormat="1" applyFont="1" applyBorder="1"/>
    <xf numFmtId="165" fontId="2" fillId="0" borderId="2" xfId="0" applyNumberFormat="1" applyFont="1" applyBorder="1"/>
    <xf numFmtId="9" fontId="2" fillId="0" borderId="2" xfId="3" applyFont="1" applyBorder="1"/>
    <xf numFmtId="0" fontId="2" fillId="0" borderId="2" xfId="3" applyNumberFormat="1" applyFont="1" applyBorder="1"/>
    <xf numFmtId="1" fontId="2" fillId="0" borderId="2" xfId="0" applyNumberFormat="1" applyFont="1" applyBorder="1"/>
    <xf numFmtId="1" fontId="2" fillId="0" borderId="2" xfId="3" applyNumberFormat="1" applyFont="1" applyBorder="1"/>
    <xf numFmtId="0" fontId="2" fillId="0" borderId="0" xfId="0" applyFont="1" applyBorder="1"/>
    <xf numFmtId="1" fontId="2" fillId="0" borderId="0" xfId="0" applyNumberFormat="1" applyFont="1" applyBorder="1"/>
    <xf numFmtId="1" fontId="2" fillId="0" borderId="0" xfId="3" applyNumberFormat="1" applyFont="1" applyBorder="1"/>
    <xf numFmtId="1" fontId="2" fillId="0" borderId="0" xfId="3" applyNumberFormat="1" applyFont="1" applyAlignment="1">
      <alignment horizontal="center"/>
    </xf>
    <xf numFmtId="1" fontId="2" fillId="0" borderId="2" xfId="0" applyNumberFormat="1" applyFont="1" applyBorder="1" applyAlignment="1">
      <alignment horizontal="center"/>
    </xf>
    <xf numFmtId="1" fontId="2" fillId="0" borderId="2" xfId="3" applyNumberFormat="1" applyFont="1" applyBorder="1" applyAlignment="1">
      <alignment horizontal="center"/>
    </xf>
    <xf numFmtId="167" fontId="2" fillId="0" borderId="2" xfId="0" applyNumberFormat="1" applyFont="1" applyBorder="1"/>
    <xf numFmtId="172" fontId="2" fillId="0" borderId="2" xfId="1" applyNumberFormat="1" applyFont="1" applyBorder="1"/>
    <xf numFmtId="0" fontId="2" fillId="0" borderId="2" xfId="0" applyFont="1" applyBorder="1" applyAlignment="1">
      <alignment horizontal="left"/>
    </xf>
    <xf numFmtId="0" fontId="2" fillId="0" borderId="2" xfId="2" applyNumberFormat="1" applyFont="1" applyBorder="1"/>
    <xf numFmtId="0" fontId="4" fillId="0" borderId="0" xfId="0" applyFont="1" applyBorder="1" applyAlignment="1">
      <alignment horizontal="center"/>
    </xf>
    <xf numFmtId="0" fontId="2" fillId="0" borderId="0" xfId="2" applyNumberFormat="1" applyFont="1" applyBorder="1"/>
    <xf numFmtId="167" fontId="2" fillId="0" borderId="2" xfId="2" applyNumberFormat="1" applyFont="1" applyBorder="1"/>
    <xf numFmtId="165" fontId="2" fillId="0" borderId="0" xfId="0" applyNumberFormat="1" applyFont="1" applyBorder="1"/>
    <xf numFmtId="0" fontId="2" fillId="0" borderId="3" xfId="0" applyFont="1" applyBorder="1" applyAlignme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171" fontId="4" fillId="0" borderId="2" xfId="0" applyNumberFormat="1" applyFont="1" applyBorder="1"/>
    <xf numFmtId="0" fontId="2" fillId="0" borderId="2" xfId="0" applyFont="1" applyBorder="1" applyAlignment="1"/>
    <xf numFmtId="168" fontId="2" fillId="0" borderId="2" xfId="2" applyFont="1" applyBorder="1" applyAlignment="1">
      <alignment horizontal="right"/>
    </xf>
    <xf numFmtId="168" fontId="2" fillId="0" borderId="2" xfId="0" applyNumberFormat="1" applyFont="1" applyBorder="1" applyAlignment="1">
      <alignment horizontal="right"/>
    </xf>
    <xf numFmtId="165" fontId="2" fillId="0" borderId="2" xfId="0" applyNumberFormat="1" applyFont="1" applyBorder="1" applyAlignment="1">
      <alignment horizontal="right"/>
    </xf>
    <xf numFmtId="3" fontId="2" fillId="0" borderId="2" xfId="3" applyNumberFormat="1" applyFont="1" applyBorder="1"/>
    <xf numFmtId="174" fontId="2" fillId="0" borderId="2" xfId="0" applyNumberFormat="1" applyFont="1" applyBorder="1"/>
    <xf numFmtId="164" fontId="2" fillId="0" borderId="2" xfId="2" applyNumberFormat="1" applyFont="1" applyBorder="1"/>
    <xf numFmtId="164" fontId="2" fillId="0" borderId="2" xfId="0" applyNumberFormat="1" applyFont="1" applyBorder="1"/>
    <xf numFmtId="0" fontId="4" fillId="2" borderId="2" xfId="0" applyFont="1" applyFill="1" applyBorder="1"/>
    <xf numFmtId="0" fontId="2" fillId="2" borderId="2" xfId="0" applyFont="1" applyFill="1" applyBorder="1"/>
    <xf numFmtId="166" fontId="2" fillId="0" borderId="2" xfId="0" applyNumberFormat="1" applyFont="1" applyBorder="1"/>
    <xf numFmtId="176" fontId="2" fillId="0" borderId="2" xfId="2" applyNumberFormat="1" applyFont="1" applyBorder="1"/>
    <xf numFmtId="170" fontId="2" fillId="0" borderId="2" xfId="3" applyNumberFormat="1" applyFont="1" applyBorder="1"/>
    <xf numFmtId="2" fontId="2" fillId="0" borderId="2" xfId="0" applyNumberFormat="1" applyFont="1" applyBorder="1"/>
    <xf numFmtId="175" fontId="2" fillId="0" borderId="2" xfId="0" applyNumberFormat="1" applyFont="1" applyBorder="1"/>
    <xf numFmtId="0" fontId="4" fillId="3" borderId="2" xfId="0" applyFont="1" applyFill="1" applyBorder="1"/>
    <xf numFmtId="0" fontId="2" fillId="3" borderId="2" xfId="0" applyFont="1" applyFill="1" applyBorder="1"/>
    <xf numFmtId="9" fontId="2" fillId="3" borderId="2" xfId="3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/>
    <xf numFmtId="171" fontId="2" fillId="3" borderId="2" xfId="0" applyNumberFormat="1" applyFont="1" applyFill="1" applyBorder="1"/>
    <xf numFmtId="171" fontId="4" fillId="0" borderId="2" xfId="0" applyNumberFormat="1" applyFont="1" applyBorder="1" applyAlignment="1">
      <alignment horizontal="center"/>
    </xf>
    <xf numFmtId="37" fontId="2" fillId="0" borderId="2" xfId="1" applyNumberFormat="1" applyFont="1" applyBorder="1"/>
    <xf numFmtId="37" fontId="4" fillId="0" borderId="2" xfId="0" applyNumberFormat="1" applyFont="1" applyBorder="1" applyAlignment="1">
      <alignment horizontal="center"/>
    </xf>
    <xf numFmtId="9" fontId="2" fillId="3" borderId="2" xfId="0" applyNumberFormat="1" applyFont="1" applyFill="1" applyBorder="1"/>
    <xf numFmtId="0" fontId="2" fillId="3" borderId="2" xfId="0" applyFont="1" applyFill="1" applyBorder="1" applyAlignment="1"/>
    <xf numFmtId="3" fontId="2" fillId="0" borderId="2" xfId="0" applyNumberFormat="1" applyFont="1" applyBorder="1" applyAlignment="1">
      <alignment horizontal="left"/>
    </xf>
    <xf numFmtId="3" fontId="2" fillId="0" borderId="2" xfId="1" applyNumberFormat="1" applyFont="1" applyBorder="1" applyAlignment="1">
      <alignment horizontal="left"/>
    </xf>
    <xf numFmtId="172" fontId="4" fillId="0" borderId="2" xfId="1" applyNumberFormat="1" applyFont="1" applyBorder="1"/>
    <xf numFmtId="168" fontId="2" fillId="0" borderId="0" xfId="0" applyNumberFormat="1" applyFont="1" applyBorder="1"/>
    <xf numFmtId="166" fontId="2" fillId="0" borderId="0" xfId="0" applyNumberFormat="1" applyFont="1" applyBorder="1"/>
    <xf numFmtId="0" fontId="2" fillId="0" borderId="0" xfId="3" applyNumberFormat="1" applyFont="1" applyBorder="1"/>
    <xf numFmtId="174" fontId="2" fillId="0" borderId="0" xfId="2" applyNumberFormat="1" applyFont="1" applyBorder="1"/>
    <xf numFmtId="174" fontId="2" fillId="0" borderId="0" xfId="0" applyNumberFormat="1" applyFont="1" applyBorder="1"/>
    <xf numFmtId="171" fontId="4" fillId="0" borderId="0" xfId="0" applyNumberFormat="1" applyFont="1" applyBorder="1" applyAlignment="1">
      <alignment horizontal="center"/>
    </xf>
    <xf numFmtId="0" fontId="4" fillId="0" borderId="0" xfId="0" applyFont="1" applyFill="1" applyBorder="1" applyAlignment="1"/>
    <xf numFmtId="167" fontId="2" fillId="0" borderId="0" xfId="0" applyNumberFormat="1" applyFont="1" applyBorder="1"/>
    <xf numFmtId="0" fontId="4" fillId="0" borderId="6" xfId="0" applyFont="1" applyFill="1" applyBorder="1" applyAlignment="1"/>
    <xf numFmtId="173" fontId="2" fillId="0" borderId="2" xfId="0" applyNumberFormat="1" applyFont="1" applyBorder="1"/>
    <xf numFmtId="174" fontId="2" fillId="0" borderId="2" xfId="2" applyNumberFormat="1" applyFont="1" applyBorder="1"/>
    <xf numFmtId="167" fontId="2" fillId="0" borderId="2" xfId="0" applyNumberFormat="1" applyFont="1" applyBorder="1" applyAlignment="1">
      <alignment horizontal="right"/>
    </xf>
    <xf numFmtId="174" fontId="4" fillId="0" borderId="2" xfId="0" applyNumberFormat="1" applyFont="1" applyBorder="1"/>
    <xf numFmtId="174" fontId="4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4" fillId="0" borderId="0" xfId="0" applyFont="1"/>
    <xf numFmtId="174" fontId="2" fillId="0" borderId="3" xfId="0" applyNumberFormat="1" applyFont="1" applyBorder="1" applyAlignment="1">
      <alignment horizontal="center"/>
    </xf>
    <xf numFmtId="174" fontId="2" fillId="0" borderId="5" xfId="0" applyNumberFormat="1" applyFont="1" applyBorder="1" applyAlignment="1">
      <alignment horizontal="center"/>
    </xf>
    <xf numFmtId="174" fontId="2" fillId="0" borderId="4" xfId="0" applyNumberFormat="1" applyFont="1" applyBorder="1" applyAlignment="1">
      <alignment horizontal="center"/>
    </xf>
    <xf numFmtId="0" fontId="2" fillId="0" borderId="0" xfId="0" applyFont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167" fontId="4" fillId="0" borderId="3" xfId="0" applyNumberFormat="1" applyFont="1" applyBorder="1" applyAlignment="1">
      <alignment horizontal="center"/>
    </xf>
    <xf numFmtId="167" fontId="4" fillId="0" borderId="5" xfId="0" applyNumberFormat="1" applyFont="1" applyBorder="1" applyAlignment="1">
      <alignment horizontal="center"/>
    </xf>
    <xf numFmtId="167" fontId="4" fillId="0" borderId="4" xfId="0" applyNumberFormat="1" applyFont="1" applyBorder="1" applyAlignment="1">
      <alignment horizont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1"/>
  <sheetViews>
    <sheetView zoomScale="90" zoomScaleNormal="90" workbookViewId="0">
      <selection activeCell="I77" sqref="I77"/>
    </sheetView>
  </sheetViews>
  <sheetFormatPr defaultColWidth="9.08984375" defaultRowHeight="14.5" x14ac:dyDescent="0.35"/>
  <cols>
    <col min="1" max="1" width="9.08984375" style="18"/>
    <col min="2" max="2" width="37.54296875" style="7" customWidth="1"/>
    <col min="3" max="3" width="9.08984375" style="7"/>
    <col min="4" max="4" width="12.08984375" style="7" customWidth="1"/>
    <col min="5" max="5" width="9.36328125" style="7" customWidth="1"/>
    <col min="6" max="7" width="9.08984375" style="7"/>
    <col min="8" max="8" width="15.08984375" style="7" customWidth="1"/>
    <col min="9" max="9" width="16.6328125" style="7" customWidth="1"/>
    <col min="10" max="10" width="8.453125" style="7" customWidth="1"/>
    <col min="11" max="11" width="14.08984375" style="7" customWidth="1"/>
    <col min="12" max="12" width="7.6328125" style="7" customWidth="1"/>
    <col min="13" max="13" width="11" style="7" customWidth="1"/>
    <col min="14" max="16" width="9.08984375" style="7"/>
    <col min="17" max="17" width="10.54296875" style="7" bestFit="1" customWidth="1"/>
    <col min="18" max="18" width="9.08984375" style="7"/>
    <col min="19" max="19" width="16.90625" style="7" customWidth="1"/>
    <col min="20" max="20" width="14.36328125" style="7" customWidth="1"/>
    <col min="21" max="26" width="9.08984375" style="7"/>
    <col min="27" max="27" width="9.54296875" style="7" bestFit="1" customWidth="1"/>
    <col min="28" max="16384" width="9.08984375" style="7"/>
  </cols>
  <sheetData>
    <row r="1" spans="2:10" x14ac:dyDescent="0.35">
      <c r="B1" s="57" t="s">
        <v>94</v>
      </c>
    </row>
    <row r="3" spans="2:10" x14ac:dyDescent="0.35">
      <c r="B3" s="19" t="s">
        <v>46</v>
      </c>
      <c r="C3" s="19">
        <v>11</v>
      </c>
      <c r="E3" s="95" t="s">
        <v>66</v>
      </c>
      <c r="F3" s="95"/>
      <c r="G3" s="95"/>
      <c r="H3" s="95"/>
      <c r="I3" s="19">
        <v>40</v>
      </c>
    </row>
    <row r="4" spans="2:10" x14ac:dyDescent="0.35">
      <c r="B4" s="19" t="s">
        <v>157</v>
      </c>
      <c r="C4" s="58">
        <v>24</v>
      </c>
      <c r="E4" s="95" t="s">
        <v>146</v>
      </c>
      <c r="F4" s="95"/>
      <c r="G4" s="95"/>
      <c r="H4" s="95"/>
      <c r="I4" s="59">
        <v>34</v>
      </c>
    </row>
    <row r="5" spans="2:10" x14ac:dyDescent="0.35">
      <c r="B5" s="19" t="s">
        <v>147</v>
      </c>
      <c r="C5" s="23">
        <v>17.5</v>
      </c>
      <c r="E5" s="19" t="s">
        <v>95</v>
      </c>
      <c r="F5" s="19"/>
      <c r="G5" s="19"/>
      <c r="H5" s="19"/>
      <c r="I5" s="58">
        <v>31</v>
      </c>
    </row>
    <row r="6" spans="2:10" ht="15" customHeight="1" x14ac:dyDescent="0.35">
      <c r="B6" s="19" t="s">
        <v>158</v>
      </c>
      <c r="C6" s="23">
        <v>21.6</v>
      </c>
      <c r="E6" s="95" t="s">
        <v>47</v>
      </c>
      <c r="F6" s="95"/>
      <c r="G6" s="95"/>
      <c r="H6" s="95"/>
      <c r="I6" s="21">
        <v>400</v>
      </c>
    </row>
    <row r="7" spans="2:10" ht="15" customHeight="1" x14ac:dyDescent="0.35">
      <c r="E7" s="95" t="s">
        <v>48</v>
      </c>
      <c r="F7" s="95"/>
      <c r="G7" s="95"/>
      <c r="H7" s="95"/>
      <c r="I7" s="19">
        <v>320</v>
      </c>
    </row>
    <row r="8" spans="2:10" ht="15" customHeight="1" x14ac:dyDescent="0.35">
      <c r="D8" s="7" t="s">
        <v>35</v>
      </c>
      <c r="E8" s="95" t="s">
        <v>67</v>
      </c>
      <c r="F8" s="95"/>
      <c r="G8" s="95"/>
      <c r="H8" s="95"/>
      <c r="I8" s="60">
        <f>15/70</f>
        <v>0.21428571428571427</v>
      </c>
    </row>
    <row r="9" spans="2:10" ht="15" customHeight="1" x14ac:dyDescent="0.35">
      <c r="C9" s="2"/>
      <c r="E9" s="95" t="s">
        <v>68</v>
      </c>
      <c r="F9" s="95"/>
      <c r="G9" s="95"/>
      <c r="H9" s="95"/>
      <c r="I9" s="60">
        <f>15/70</f>
        <v>0.21428571428571427</v>
      </c>
    </row>
    <row r="10" spans="2:10" x14ac:dyDescent="0.35">
      <c r="C10" s="2"/>
      <c r="I10" s="8"/>
    </row>
    <row r="11" spans="2:10" s="18" customFormat="1" x14ac:dyDescent="0.35">
      <c r="C11" s="2"/>
      <c r="I11" s="8"/>
    </row>
    <row r="12" spans="2:10" s="18" customFormat="1" x14ac:dyDescent="0.35">
      <c r="C12" s="2"/>
      <c r="I12" s="8"/>
    </row>
    <row r="14" spans="2:10" x14ac:dyDescent="0.35">
      <c r="B14" s="97" t="s">
        <v>148</v>
      </c>
      <c r="C14" s="97"/>
      <c r="D14" s="97"/>
      <c r="E14" s="97"/>
      <c r="F14" s="97"/>
    </row>
    <row r="16" spans="2:10" x14ac:dyDescent="0.35">
      <c r="B16" s="91" t="s">
        <v>76</v>
      </c>
      <c r="C16" s="92"/>
      <c r="D16" s="92"/>
      <c r="E16" s="92"/>
      <c r="F16" s="93"/>
      <c r="H16" s="94" t="s">
        <v>154</v>
      </c>
      <c r="I16" s="94"/>
      <c r="J16" s="94"/>
    </row>
    <row r="17" spans="1:14" x14ac:dyDescent="0.35">
      <c r="B17" s="46" t="s">
        <v>8</v>
      </c>
      <c r="C17" s="46"/>
      <c r="D17" s="46" t="s">
        <v>49</v>
      </c>
      <c r="E17" s="46" t="s">
        <v>72</v>
      </c>
      <c r="F17" s="46" t="s">
        <v>1</v>
      </c>
      <c r="H17" s="95" t="s">
        <v>127</v>
      </c>
      <c r="I17" s="95"/>
      <c r="J17" s="20">
        <v>13.8</v>
      </c>
    </row>
    <row r="18" spans="1:14" x14ac:dyDescent="0.35">
      <c r="A18" s="18">
        <v>1</v>
      </c>
      <c r="B18" s="63" t="s">
        <v>3</v>
      </c>
      <c r="C18" s="64"/>
      <c r="D18" s="65">
        <v>0.9</v>
      </c>
      <c r="E18" s="64">
        <v>3</v>
      </c>
      <c r="F18" s="64">
        <f>D18*E18</f>
        <v>2.7</v>
      </c>
      <c r="H18" s="95" t="s">
        <v>50</v>
      </c>
      <c r="I18" s="95"/>
      <c r="J18" s="37">
        <f>J17*I7</f>
        <v>4416</v>
      </c>
    </row>
    <row r="19" spans="1:14" x14ac:dyDescent="0.35">
      <c r="B19" s="64"/>
      <c r="C19" s="64"/>
      <c r="D19" s="65">
        <v>0.1</v>
      </c>
      <c r="E19" s="64">
        <v>1.5</v>
      </c>
      <c r="F19" s="64">
        <f>D19*E19</f>
        <v>0.15000000000000002</v>
      </c>
      <c r="H19" s="95" t="s">
        <v>128</v>
      </c>
      <c r="I19" s="95"/>
      <c r="J19" s="37">
        <f>J18*0.214</f>
        <v>945.024</v>
      </c>
    </row>
    <row r="20" spans="1:14" x14ac:dyDescent="0.35">
      <c r="A20" s="18">
        <v>2</v>
      </c>
      <c r="B20" s="45" t="s">
        <v>2</v>
      </c>
      <c r="C20" s="19"/>
      <c r="D20" s="26">
        <v>1</v>
      </c>
      <c r="E20" s="19">
        <v>1.5</v>
      </c>
      <c r="F20" s="61">
        <f>D20*E20</f>
        <v>1.5</v>
      </c>
      <c r="H20" s="95" t="s">
        <v>16</v>
      </c>
      <c r="I20" s="95"/>
      <c r="J20" s="37">
        <f>J18+J19</f>
        <v>5361.0240000000003</v>
      </c>
      <c r="M20" s="7" t="s">
        <v>35</v>
      </c>
    </row>
    <row r="21" spans="1:14" x14ac:dyDescent="0.35">
      <c r="B21" s="19"/>
      <c r="C21" s="19"/>
      <c r="D21" s="19"/>
      <c r="E21" s="19"/>
      <c r="F21" s="19"/>
    </row>
    <row r="22" spans="1:14" x14ac:dyDescent="0.35">
      <c r="A22" s="18">
        <v>3</v>
      </c>
      <c r="B22" s="63" t="s">
        <v>77</v>
      </c>
      <c r="C22" s="66" t="s">
        <v>51</v>
      </c>
      <c r="D22" s="64"/>
      <c r="E22" s="64"/>
      <c r="F22" s="64"/>
    </row>
    <row r="23" spans="1:14" x14ac:dyDescent="0.35">
      <c r="B23" s="64"/>
      <c r="C23" s="64">
        <v>1</v>
      </c>
      <c r="D23" s="65">
        <v>0.5</v>
      </c>
      <c r="E23" s="64">
        <v>2.5</v>
      </c>
      <c r="F23" s="64">
        <f t="shared" ref="F23:F30" si="0">D23*E23</f>
        <v>1.25</v>
      </c>
    </row>
    <row r="24" spans="1:14" x14ac:dyDescent="0.35">
      <c r="B24" s="64"/>
      <c r="C24" s="64">
        <v>2</v>
      </c>
      <c r="D24" s="65">
        <v>0.4</v>
      </c>
      <c r="E24" s="64">
        <v>5</v>
      </c>
      <c r="F24" s="64">
        <f t="shared" si="0"/>
        <v>2</v>
      </c>
    </row>
    <row r="25" spans="1:14" x14ac:dyDescent="0.35">
      <c r="B25" s="64"/>
      <c r="C25" s="64">
        <v>3</v>
      </c>
      <c r="D25" s="65">
        <v>0.1</v>
      </c>
      <c r="E25" s="64">
        <v>7.5</v>
      </c>
      <c r="F25" s="64">
        <f t="shared" si="0"/>
        <v>0.75</v>
      </c>
    </row>
    <row r="26" spans="1:14" x14ac:dyDescent="0.35">
      <c r="A26" s="18">
        <v>4</v>
      </c>
      <c r="B26" s="19" t="s">
        <v>52</v>
      </c>
      <c r="C26" s="19"/>
      <c r="D26" s="26">
        <v>1</v>
      </c>
      <c r="E26" s="19">
        <v>1</v>
      </c>
      <c r="F26" s="28">
        <f t="shared" si="0"/>
        <v>1</v>
      </c>
    </row>
    <row r="27" spans="1:14" x14ac:dyDescent="0.35">
      <c r="A27" s="18">
        <v>5</v>
      </c>
      <c r="B27" s="64" t="s">
        <v>53</v>
      </c>
      <c r="C27" s="64"/>
      <c r="D27" s="65">
        <v>1</v>
      </c>
      <c r="E27" s="64">
        <v>2.5</v>
      </c>
      <c r="F27" s="68">
        <f t="shared" si="0"/>
        <v>2.5</v>
      </c>
    </row>
    <row r="28" spans="1:14" x14ac:dyDescent="0.35">
      <c r="A28" s="18">
        <v>6</v>
      </c>
      <c r="B28" s="19" t="s">
        <v>22</v>
      </c>
      <c r="C28" s="19" t="s">
        <v>5</v>
      </c>
      <c r="D28" s="26">
        <v>0.55000000000000004</v>
      </c>
      <c r="E28" s="19">
        <v>3.5</v>
      </c>
      <c r="F28" s="19">
        <f t="shared" si="0"/>
        <v>1.9250000000000003</v>
      </c>
    </row>
    <row r="29" spans="1:14" x14ac:dyDescent="0.35">
      <c r="A29" s="18">
        <v>7</v>
      </c>
      <c r="B29" s="19" t="s">
        <v>4</v>
      </c>
      <c r="C29" s="19" t="s">
        <v>6</v>
      </c>
      <c r="D29" s="26">
        <v>0.45</v>
      </c>
      <c r="E29" s="19">
        <v>0</v>
      </c>
      <c r="F29" s="19">
        <f t="shared" si="0"/>
        <v>0</v>
      </c>
    </row>
    <row r="30" spans="1:14" x14ac:dyDescent="0.35">
      <c r="A30" s="18">
        <v>8</v>
      </c>
      <c r="B30" s="19" t="s">
        <v>7</v>
      </c>
      <c r="C30" s="19" t="s">
        <v>6</v>
      </c>
      <c r="D30" s="60">
        <f>D29*0.025</f>
        <v>1.1250000000000001E-2</v>
      </c>
      <c r="E30" s="19">
        <v>1</v>
      </c>
      <c r="F30" s="62">
        <f t="shared" si="0"/>
        <v>1.1250000000000001E-2</v>
      </c>
    </row>
    <row r="31" spans="1:14" x14ac:dyDescent="0.35">
      <c r="B31" s="19"/>
      <c r="C31" s="19"/>
      <c r="D31" s="46" t="s">
        <v>0</v>
      </c>
      <c r="E31" s="46"/>
      <c r="F31" s="69">
        <f>SUM(F18:F30)</f>
        <v>13.786250000000001</v>
      </c>
      <c r="N31" s="7" t="s">
        <v>35</v>
      </c>
    </row>
    <row r="32" spans="1:14" s="18" customFormat="1" x14ac:dyDescent="0.35">
      <c r="B32" s="30"/>
      <c r="C32" s="30"/>
      <c r="D32" s="40"/>
      <c r="E32" s="40"/>
      <c r="F32" s="82"/>
    </row>
    <row r="33" spans="1:14" s="18" customFormat="1" x14ac:dyDescent="0.35">
      <c r="B33" s="30"/>
      <c r="C33" s="30"/>
      <c r="D33" s="40"/>
      <c r="E33" s="40"/>
      <c r="F33" s="82"/>
    </row>
    <row r="34" spans="1:14" s="18" customFormat="1" x14ac:dyDescent="0.35">
      <c r="B34" s="30"/>
      <c r="C34" s="30"/>
      <c r="D34" s="40"/>
      <c r="E34" s="40"/>
      <c r="F34" s="82"/>
    </row>
    <row r="36" spans="1:14" x14ac:dyDescent="0.35">
      <c r="B36" s="91" t="s">
        <v>78</v>
      </c>
      <c r="C36" s="92"/>
      <c r="D36" s="92"/>
      <c r="E36" s="92"/>
      <c r="F36" s="93"/>
      <c r="H36" s="91" t="s">
        <v>155</v>
      </c>
      <c r="I36" s="92"/>
      <c r="J36" s="93"/>
    </row>
    <row r="37" spans="1:14" x14ac:dyDescent="0.35">
      <c r="B37" s="46" t="s">
        <v>8</v>
      </c>
      <c r="C37" s="46"/>
      <c r="D37" s="46" t="s">
        <v>69</v>
      </c>
      <c r="E37" s="46" t="s">
        <v>72</v>
      </c>
      <c r="F37" s="46" t="s">
        <v>71</v>
      </c>
      <c r="H37" s="96" t="s">
        <v>32</v>
      </c>
      <c r="I37" s="96"/>
      <c r="J37" s="74">
        <f>SUM(F38:F42)</f>
        <v>3200</v>
      </c>
    </row>
    <row r="38" spans="1:14" x14ac:dyDescent="0.35">
      <c r="A38" s="18">
        <v>1</v>
      </c>
      <c r="B38" s="19" t="s">
        <v>33</v>
      </c>
      <c r="C38" s="19"/>
      <c r="D38" s="19">
        <f>0.3*I7</f>
        <v>96</v>
      </c>
      <c r="E38" s="19">
        <v>25</v>
      </c>
      <c r="F38" s="70">
        <f>D38*E38</f>
        <v>2400</v>
      </c>
      <c r="H38" s="96" t="s">
        <v>142</v>
      </c>
      <c r="I38" s="96"/>
      <c r="J38" s="74">
        <f>SUM(F38:F42)*0.214</f>
        <v>684.8</v>
      </c>
      <c r="N38" s="1"/>
    </row>
    <row r="39" spans="1:14" x14ac:dyDescent="0.35">
      <c r="A39" s="18">
        <v>2</v>
      </c>
      <c r="B39" s="19" t="s">
        <v>9</v>
      </c>
      <c r="C39" s="19"/>
      <c r="D39" s="19">
        <v>25</v>
      </c>
      <c r="E39" s="19">
        <v>5.5</v>
      </c>
      <c r="F39" s="70">
        <f>D39*E39</f>
        <v>137.5</v>
      </c>
      <c r="H39" s="96" t="s">
        <v>16</v>
      </c>
      <c r="I39" s="96"/>
      <c r="J39" s="75">
        <f>J37+J38</f>
        <v>3884.8</v>
      </c>
      <c r="K39" s="9" t="s">
        <v>35</v>
      </c>
      <c r="N39" s="1"/>
    </row>
    <row r="40" spans="1:14" x14ac:dyDescent="0.35">
      <c r="A40" s="18">
        <v>3</v>
      </c>
      <c r="B40" s="19" t="s">
        <v>11</v>
      </c>
      <c r="C40" s="19"/>
      <c r="D40" s="19">
        <v>25</v>
      </c>
      <c r="E40" s="19">
        <v>8.5</v>
      </c>
      <c r="F40" s="70">
        <f>D40*E40</f>
        <v>212.5</v>
      </c>
      <c r="N40" s="1"/>
    </row>
    <row r="41" spans="1:14" x14ac:dyDescent="0.35">
      <c r="A41" s="18">
        <v>4</v>
      </c>
      <c r="B41" s="19" t="s">
        <v>80</v>
      </c>
      <c r="C41" s="19"/>
      <c r="D41" s="19">
        <v>25</v>
      </c>
      <c r="E41" s="19">
        <v>15</v>
      </c>
      <c r="F41" s="70">
        <f>D41*E41</f>
        <v>375</v>
      </c>
    </row>
    <row r="42" spans="1:14" x14ac:dyDescent="0.35">
      <c r="A42" s="18">
        <v>5</v>
      </c>
      <c r="B42" s="19" t="s">
        <v>34</v>
      </c>
      <c r="C42" s="19"/>
      <c r="D42" s="19">
        <v>25</v>
      </c>
      <c r="E42" s="19">
        <v>3</v>
      </c>
      <c r="F42" s="70">
        <f>D42*E42</f>
        <v>75</v>
      </c>
    </row>
    <row r="43" spans="1:14" x14ac:dyDescent="0.35">
      <c r="B43" s="19"/>
      <c r="C43" s="19"/>
      <c r="D43" s="46" t="s">
        <v>0</v>
      </c>
      <c r="E43" s="46"/>
      <c r="F43" s="71">
        <f>SUM(F38:F42)</f>
        <v>3200</v>
      </c>
    </row>
    <row r="45" spans="1:14" s="18" customFormat="1" x14ac:dyDescent="0.35"/>
    <row r="46" spans="1:14" s="18" customFormat="1" x14ac:dyDescent="0.35"/>
    <row r="47" spans="1:14" s="18" customFormat="1" x14ac:dyDescent="0.35"/>
    <row r="48" spans="1:14" s="18" customFormat="1" x14ac:dyDescent="0.35"/>
    <row r="50" spans="1:27" x14ac:dyDescent="0.35">
      <c r="B50" s="94" t="s">
        <v>79</v>
      </c>
      <c r="C50" s="94"/>
      <c r="D50" s="94"/>
      <c r="E50" s="94"/>
      <c r="F50" s="94"/>
    </row>
    <row r="51" spans="1:27" x14ac:dyDescent="0.35">
      <c r="B51" s="19" t="s">
        <v>35</v>
      </c>
      <c r="C51" s="19" t="s">
        <v>10</v>
      </c>
      <c r="D51" s="19"/>
      <c r="E51" s="19" t="s">
        <v>72</v>
      </c>
      <c r="F51" s="19"/>
      <c r="Y51" s="9"/>
    </row>
    <row r="52" spans="1:27" x14ac:dyDescent="0.35">
      <c r="A52" s="18">
        <v>1</v>
      </c>
      <c r="B52" s="19" t="s">
        <v>93</v>
      </c>
      <c r="C52" s="19">
        <v>60</v>
      </c>
      <c r="D52" s="19"/>
      <c r="E52" s="19">
        <v>9</v>
      </c>
      <c r="F52" s="19">
        <f>C52*E52</f>
        <v>540</v>
      </c>
      <c r="H52" s="94" t="s">
        <v>156</v>
      </c>
      <c r="I52" s="94"/>
      <c r="J52" s="94"/>
    </row>
    <row r="53" spans="1:27" x14ac:dyDescent="0.35">
      <c r="B53" s="19"/>
      <c r="C53" s="19"/>
      <c r="D53" s="19"/>
      <c r="E53" s="19"/>
      <c r="F53" s="19"/>
      <c r="H53" s="95" t="s">
        <v>70</v>
      </c>
      <c r="I53" s="95"/>
      <c r="J53" s="20">
        <f>F66</f>
        <v>21.3</v>
      </c>
    </row>
    <row r="54" spans="1:27" x14ac:dyDescent="0.35">
      <c r="B54" s="91" t="s">
        <v>96</v>
      </c>
      <c r="C54" s="92"/>
      <c r="D54" s="92"/>
      <c r="E54" s="92"/>
      <c r="F54" s="93"/>
      <c r="H54" s="95" t="s">
        <v>50</v>
      </c>
      <c r="I54" s="95"/>
      <c r="J54" s="37">
        <f>J53*I7</f>
        <v>6816</v>
      </c>
    </row>
    <row r="55" spans="1:27" x14ac:dyDescent="0.35">
      <c r="B55" s="46" t="s">
        <v>8</v>
      </c>
      <c r="C55" s="46"/>
      <c r="D55" s="46" t="s">
        <v>49</v>
      </c>
      <c r="E55" s="46" t="s">
        <v>72</v>
      </c>
      <c r="F55" s="46" t="s">
        <v>1</v>
      </c>
      <c r="H55" s="95" t="s">
        <v>32</v>
      </c>
      <c r="I55" s="95"/>
      <c r="J55" s="37">
        <f>F52+J54</f>
        <v>7356</v>
      </c>
      <c r="K55" s="7" t="s">
        <v>129</v>
      </c>
    </row>
    <row r="56" spans="1:27" x14ac:dyDescent="0.35">
      <c r="A56" s="18">
        <v>2</v>
      </c>
      <c r="B56" s="64" t="s">
        <v>74</v>
      </c>
      <c r="C56" s="64"/>
      <c r="D56" s="65">
        <v>1</v>
      </c>
      <c r="E56" s="64">
        <v>3</v>
      </c>
      <c r="F56" s="68">
        <f>D56*E56</f>
        <v>3</v>
      </c>
      <c r="H56" s="95" t="s">
        <v>91</v>
      </c>
      <c r="I56" s="95"/>
      <c r="J56" s="37">
        <f>0.214*J55</f>
        <v>1574.184</v>
      </c>
    </row>
    <row r="57" spans="1:27" x14ac:dyDescent="0.35">
      <c r="A57" s="18">
        <v>3</v>
      </c>
      <c r="B57" s="19" t="s">
        <v>12</v>
      </c>
      <c r="C57" s="19"/>
      <c r="D57" s="26">
        <v>0.6</v>
      </c>
      <c r="E57" s="19">
        <v>2.75</v>
      </c>
      <c r="F57" s="61">
        <f>D57*E57</f>
        <v>1.65</v>
      </c>
      <c r="H57" s="95" t="s">
        <v>16</v>
      </c>
      <c r="I57" s="95"/>
      <c r="J57" s="37">
        <f>J55+J56</f>
        <v>8930.1839999999993</v>
      </c>
      <c r="AA57" s="9"/>
    </row>
    <row r="58" spans="1:27" x14ac:dyDescent="0.35">
      <c r="A58" s="18">
        <v>4</v>
      </c>
      <c r="B58" s="64" t="s">
        <v>13</v>
      </c>
      <c r="C58" s="64" t="s">
        <v>75</v>
      </c>
      <c r="D58" s="65"/>
      <c r="E58" s="64"/>
      <c r="F58" s="68"/>
      <c r="H58" s="18"/>
      <c r="I58" s="18"/>
      <c r="J58" s="9"/>
      <c r="K58" s="18"/>
      <c r="AA58" s="9"/>
    </row>
    <row r="59" spans="1:27" x14ac:dyDescent="0.35">
      <c r="B59" s="67"/>
      <c r="C59" s="66">
        <v>1</v>
      </c>
      <c r="D59" s="72">
        <v>0.5</v>
      </c>
      <c r="E59" s="64">
        <v>3</v>
      </c>
      <c r="F59" s="64">
        <f t="shared" ref="F59:F65" si="1">D59*E59</f>
        <v>1.5</v>
      </c>
      <c r="H59" s="18"/>
      <c r="I59" s="18"/>
      <c r="J59" s="18"/>
      <c r="K59" s="18"/>
    </row>
    <row r="60" spans="1:27" x14ac:dyDescent="0.35">
      <c r="B60" s="64" t="s">
        <v>35</v>
      </c>
      <c r="C60" s="66">
        <v>2</v>
      </c>
      <c r="D60" s="65">
        <v>0.4</v>
      </c>
      <c r="E60" s="64">
        <v>6</v>
      </c>
      <c r="F60" s="64">
        <f t="shared" si="1"/>
        <v>2.4000000000000004</v>
      </c>
      <c r="K60" s="18"/>
    </row>
    <row r="61" spans="1:27" x14ac:dyDescent="0.35">
      <c r="B61" s="64"/>
      <c r="C61" s="66">
        <v>3</v>
      </c>
      <c r="D61" s="72">
        <v>0.1</v>
      </c>
      <c r="E61" s="64">
        <v>9</v>
      </c>
      <c r="F61" s="64">
        <f t="shared" si="1"/>
        <v>0.9</v>
      </c>
      <c r="K61" s="18"/>
    </row>
    <row r="62" spans="1:27" x14ac:dyDescent="0.35">
      <c r="A62" s="18">
        <v>5</v>
      </c>
      <c r="B62" s="48" t="s">
        <v>73</v>
      </c>
      <c r="C62" s="48"/>
      <c r="D62" s="26">
        <v>1</v>
      </c>
      <c r="E62" s="19">
        <v>6</v>
      </c>
      <c r="F62" s="20">
        <f t="shared" si="1"/>
        <v>6</v>
      </c>
      <c r="K62" s="18"/>
    </row>
    <row r="63" spans="1:27" x14ac:dyDescent="0.35">
      <c r="A63" s="18">
        <v>6</v>
      </c>
      <c r="B63" s="73" t="s">
        <v>14</v>
      </c>
      <c r="C63" s="73"/>
      <c r="D63" s="65">
        <v>1</v>
      </c>
      <c r="E63" s="64">
        <v>3</v>
      </c>
      <c r="F63" s="68">
        <f t="shared" si="1"/>
        <v>3</v>
      </c>
      <c r="K63" s="18"/>
    </row>
    <row r="64" spans="1:27" x14ac:dyDescent="0.35">
      <c r="A64" s="18">
        <v>7</v>
      </c>
      <c r="B64" s="48" t="s">
        <v>15</v>
      </c>
      <c r="C64" s="48"/>
      <c r="D64" s="26">
        <v>0.9</v>
      </c>
      <c r="E64" s="19">
        <v>3</v>
      </c>
      <c r="F64" s="20">
        <f t="shared" si="1"/>
        <v>2.7</v>
      </c>
      <c r="K64" s="18"/>
    </row>
    <row r="65" spans="2:11" x14ac:dyDescent="0.35">
      <c r="B65" s="48"/>
      <c r="C65" s="48"/>
      <c r="D65" s="26">
        <v>0.1</v>
      </c>
      <c r="E65" s="19">
        <v>1.5</v>
      </c>
      <c r="F65" s="61">
        <f t="shared" si="1"/>
        <v>0.15000000000000002</v>
      </c>
      <c r="K65" s="18"/>
    </row>
    <row r="66" spans="2:11" x14ac:dyDescent="0.35">
      <c r="B66" s="19"/>
      <c r="C66" s="19"/>
      <c r="D66" s="46" t="s">
        <v>0</v>
      </c>
      <c r="E66" s="19"/>
      <c r="F66" s="69">
        <f>SUM(F56:F65)</f>
        <v>21.3</v>
      </c>
      <c r="K66" s="18"/>
    </row>
    <row r="67" spans="2:11" x14ac:dyDescent="0.35">
      <c r="K67" s="18"/>
    </row>
    <row r="68" spans="2:11" s="18" customFormat="1" x14ac:dyDescent="0.35"/>
    <row r="69" spans="2:11" x14ac:dyDescent="0.35">
      <c r="K69" s="18"/>
    </row>
    <row r="70" spans="2:11" x14ac:dyDescent="0.35">
      <c r="K70" s="18"/>
    </row>
    <row r="71" spans="2:11" x14ac:dyDescent="0.35">
      <c r="B71" s="91" t="s">
        <v>17</v>
      </c>
      <c r="C71" s="92"/>
      <c r="D71" s="93"/>
    </row>
    <row r="72" spans="2:11" x14ac:dyDescent="0.35">
      <c r="B72" s="19" t="s">
        <v>18</v>
      </c>
      <c r="C72" s="19"/>
      <c r="D72" s="37">
        <f>J18</f>
        <v>4416</v>
      </c>
    </row>
    <row r="73" spans="2:11" x14ac:dyDescent="0.35">
      <c r="B73" s="19" t="s">
        <v>19</v>
      </c>
      <c r="C73" s="19"/>
      <c r="D73" s="37">
        <f>SUM(F38:F42)</f>
        <v>3200</v>
      </c>
    </row>
    <row r="74" spans="2:11" x14ac:dyDescent="0.35">
      <c r="B74" s="19" t="s">
        <v>20</v>
      </c>
      <c r="C74" s="19"/>
      <c r="D74" s="37">
        <f>J55</f>
        <v>7356</v>
      </c>
    </row>
    <row r="75" spans="2:11" x14ac:dyDescent="0.35">
      <c r="B75" s="45" t="s">
        <v>0</v>
      </c>
      <c r="C75" s="19"/>
      <c r="D75" s="76">
        <f>SUM(D72:D74)</f>
        <v>14972</v>
      </c>
    </row>
    <row r="76" spans="2:11" x14ac:dyDescent="0.35">
      <c r="B76" s="19" t="s">
        <v>133</v>
      </c>
      <c r="C76" s="19"/>
      <c r="D76" s="37">
        <f>D75*0.214</f>
        <v>3204.0079999999998</v>
      </c>
      <c r="J76" s="7" t="s">
        <v>35</v>
      </c>
    </row>
    <row r="77" spans="2:11" x14ac:dyDescent="0.35">
      <c r="B77" s="19" t="s">
        <v>130</v>
      </c>
      <c r="C77" s="19"/>
      <c r="D77" s="37">
        <f>D75*0.214</f>
        <v>3204.0079999999998</v>
      </c>
    </row>
    <row r="78" spans="2:11" x14ac:dyDescent="0.35">
      <c r="B78" s="45" t="s">
        <v>131</v>
      </c>
      <c r="C78" s="45"/>
      <c r="D78" s="76">
        <f>SUM(D75:D77)</f>
        <v>21380.016000000003</v>
      </c>
    </row>
    <row r="79" spans="2:11" x14ac:dyDescent="0.35">
      <c r="B79" s="45" t="s">
        <v>132</v>
      </c>
      <c r="C79" s="45"/>
      <c r="D79" s="76">
        <f>C3*2080</f>
        <v>22880</v>
      </c>
    </row>
    <row r="80" spans="2:11" x14ac:dyDescent="0.35">
      <c r="B80" s="19" t="s">
        <v>21</v>
      </c>
      <c r="C80" s="19"/>
      <c r="D80" s="37">
        <f>D79-D78</f>
        <v>1499.9839999999967</v>
      </c>
    </row>
    <row r="81" spans="5:5" x14ac:dyDescent="0.35">
      <c r="E81" s="1"/>
    </row>
  </sheetData>
  <mergeCells count="27">
    <mergeCell ref="E9:H9"/>
    <mergeCell ref="B14:F14"/>
    <mergeCell ref="E3:H3"/>
    <mergeCell ref="E4:H4"/>
    <mergeCell ref="E6:H6"/>
    <mergeCell ref="E7:H7"/>
    <mergeCell ref="E8:H8"/>
    <mergeCell ref="H54:I54"/>
    <mergeCell ref="H55:I55"/>
    <mergeCell ref="H56:I56"/>
    <mergeCell ref="H57:I57"/>
    <mergeCell ref="H39:I39"/>
    <mergeCell ref="H53:I53"/>
    <mergeCell ref="H16:J16"/>
    <mergeCell ref="H36:J36"/>
    <mergeCell ref="H52:J52"/>
    <mergeCell ref="H17:I17"/>
    <mergeCell ref="H18:I18"/>
    <mergeCell ref="H19:I19"/>
    <mergeCell ref="H20:I20"/>
    <mergeCell ref="H37:I37"/>
    <mergeCell ref="H38:I38"/>
    <mergeCell ref="B71:D71"/>
    <mergeCell ref="B16:F16"/>
    <mergeCell ref="B36:F36"/>
    <mergeCell ref="B50:F50"/>
    <mergeCell ref="B54:F5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53"/>
  <sheetViews>
    <sheetView topLeftCell="A34" workbookViewId="0">
      <selection activeCell="K51" sqref="K51"/>
    </sheetView>
  </sheetViews>
  <sheetFormatPr defaultColWidth="9.08984375" defaultRowHeight="14.5" x14ac:dyDescent="0.35"/>
  <cols>
    <col min="1" max="1" width="9.08984375" style="7"/>
    <col min="2" max="2" width="30.6328125" style="7" customWidth="1"/>
    <col min="3" max="3" width="10" style="7" customWidth="1"/>
    <col min="4" max="4" width="8.54296875" style="7" customWidth="1"/>
    <col min="5" max="7" width="6.6328125" style="7" customWidth="1"/>
    <col min="8" max="8" width="7.453125" style="7" customWidth="1"/>
    <col min="9" max="9" width="6.6328125" style="7" customWidth="1"/>
    <col min="10" max="10" width="8" style="7" customWidth="1"/>
    <col min="11" max="11" width="10.54296875" style="7" bestFit="1" customWidth="1"/>
    <col min="12" max="12" width="22.453125" style="7" customWidth="1"/>
    <col min="13" max="16384" width="9.08984375" style="7"/>
  </cols>
  <sheetData>
    <row r="1" spans="2:15" x14ac:dyDescent="0.35">
      <c r="B1" s="56" t="s">
        <v>98</v>
      </c>
    </row>
    <row r="3" spans="2:15" x14ac:dyDescent="0.35">
      <c r="B3" s="11"/>
    </row>
    <row r="4" spans="2:15" x14ac:dyDescent="0.35">
      <c r="B4" s="19" t="s">
        <v>152</v>
      </c>
      <c r="C4" s="19">
        <v>13.8</v>
      </c>
    </row>
    <row r="5" spans="2:15" x14ac:dyDescent="0.35">
      <c r="B5" s="19" t="s">
        <v>151</v>
      </c>
      <c r="C5" s="20">
        <f>C4*0.214</f>
        <v>2.9532000000000003</v>
      </c>
    </row>
    <row r="6" spans="2:15" x14ac:dyDescent="0.35">
      <c r="B6" s="19" t="s">
        <v>150</v>
      </c>
      <c r="C6" s="20">
        <f>C4+C5</f>
        <v>16.7532</v>
      </c>
    </row>
    <row r="7" spans="2:15" x14ac:dyDescent="0.35">
      <c r="B7" s="19" t="s">
        <v>29</v>
      </c>
      <c r="C7" s="19">
        <v>320</v>
      </c>
    </row>
    <row r="8" spans="2:15" x14ac:dyDescent="0.35">
      <c r="B8" s="19" t="s">
        <v>32</v>
      </c>
      <c r="C8" s="19">
        <f>$C$7*C4</f>
        <v>4416</v>
      </c>
    </row>
    <row r="9" spans="2:15" x14ac:dyDescent="0.35">
      <c r="B9" s="19" t="s">
        <v>91</v>
      </c>
      <c r="C9" s="28">
        <f>$C$7*C5</f>
        <v>945.02400000000011</v>
      </c>
      <c r="D9" s="7" t="s">
        <v>35</v>
      </c>
      <c r="G9" s="5" t="s">
        <v>35</v>
      </c>
      <c r="K9" s="18"/>
      <c r="L9" s="18"/>
      <c r="M9" s="18"/>
      <c r="N9" s="18"/>
      <c r="O9" s="18"/>
    </row>
    <row r="10" spans="2:15" x14ac:dyDescent="0.35">
      <c r="B10" s="19" t="s">
        <v>92</v>
      </c>
      <c r="C10" s="28">
        <f>SUM(C8+C9)</f>
        <v>5361.0240000000003</v>
      </c>
      <c r="G10" s="5"/>
    </row>
    <row r="11" spans="2:15" x14ac:dyDescent="0.35">
      <c r="H11" s="5"/>
    </row>
    <row r="12" spans="2:15" s="18" customFormat="1" x14ac:dyDescent="0.35">
      <c r="B12" s="91" t="s">
        <v>30</v>
      </c>
      <c r="C12" s="92"/>
      <c r="D12" s="93"/>
      <c r="H12" s="5"/>
    </row>
    <row r="13" spans="2:15" s="18" customFormat="1" x14ac:dyDescent="0.35">
      <c r="B13" s="48" t="s">
        <v>61</v>
      </c>
      <c r="C13" s="48"/>
      <c r="D13" s="22">
        <v>11</v>
      </c>
      <c r="H13" s="5"/>
    </row>
    <row r="14" spans="2:15" s="18" customFormat="1" x14ac:dyDescent="0.35">
      <c r="B14" s="48" t="s">
        <v>62</v>
      </c>
      <c r="C14" s="48"/>
      <c r="D14" s="49">
        <v>24</v>
      </c>
      <c r="H14" s="5"/>
    </row>
    <row r="15" spans="2:15" s="18" customFormat="1" x14ac:dyDescent="0.35">
      <c r="B15" s="48" t="s">
        <v>28</v>
      </c>
      <c r="C15" s="48"/>
      <c r="D15" s="50">
        <v>34</v>
      </c>
      <c r="H15" s="5"/>
    </row>
    <row r="16" spans="2:15" s="18" customFormat="1" x14ac:dyDescent="0.35">
      <c r="B16" s="48" t="s">
        <v>97</v>
      </c>
      <c r="C16" s="48"/>
      <c r="D16" s="49">
        <v>17.5</v>
      </c>
      <c r="H16" s="5"/>
    </row>
    <row r="17" spans="2:13" s="18" customFormat="1" x14ac:dyDescent="0.35">
      <c r="B17" s="48" t="s">
        <v>60</v>
      </c>
      <c r="C17" s="48"/>
      <c r="D17" s="51">
        <v>400</v>
      </c>
      <c r="H17" s="5"/>
    </row>
    <row r="18" spans="2:13" x14ac:dyDescent="0.35">
      <c r="H18" s="5"/>
    </row>
    <row r="20" spans="2:13" x14ac:dyDescent="0.35">
      <c r="B20" s="46" t="s">
        <v>27</v>
      </c>
      <c r="C20" s="46">
        <v>1</v>
      </c>
      <c r="D20" s="46">
        <v>2</v>
      </c>
      <c r="E20" s="46">
        <v>3</v>
      </c>
      <c r="F20" s="46">
        <v>4</v>
      </c>
      <c r="G20" s="46">
        <v>5</v>
      </c>
      <c r="H20" s="46">
        <v>6</v>
      </c>
      <c r="I20" s="46">
        <v>7</v>
      </c>
      <c r="J20" s="46" t="s">
        <v>0</v>
      </c>
    </row>
    <row r="21" spans="2:13" x14ac:dyDescent="0.35">
      <c r="B21" s="19" t="s">
        <v>37</v>
      </c>
      <c r="C21" s="26">
        <v>0.11</v>
      </c>
      <c r="D21" s="26">
        <v>0.12</v>
      </c>
      <c r="E21" s="26">
        <v>0.13</v>
      </c>
      <c r="F21" s="26">
        <v>0.13</v>
      </c>
      <c r="G21" s="26">
        <v>0.13</v>
      </c>
      <c r="H21" s="26">
        <v>0.12</v>
      </c>
      <c r="I21" s="26">
        <v>0.11</v>
      </c>
      <c r="J21" s="26">
        <f t="shared" ref="J21:J27" si="0">SUM(C21:I21)</f>
        <v>0.85</v>
      </c>
    </row>
    <row r="22" spans="2:13" x14ac:dyDescent="0.35">
      <c r="B22" s="19" t="s">
        <v>29</v>
      </c>
      <c r="C22" s="19">
        <f t="shared" ref="C22:I22" si="1">C21*$C$7</f>
        <v>35.200000000000003</v>
      </c>
      <c r="D22" s="19">
        <f t="shared" si="1"/>
        <v>38.4</v>
      </c>
      <c r="E22" s="19">
        <f t="shared" si="1"/>
        <v>41.6</v>
      </c>
      <c r="F22" s="19">
        <f t="shared" si="1"/>
        <v>41.6</v>
      </c>
      <c r="G22" s="19">
        <f t="shared" si="1"/>
        <v>41.6</v>
      </c>
      <c r="H22" s="19">
        <f t="shared" si="1"/>
        <v>38.4</v>
      </c>
      <c r="I22" s="19">
        <f t="shared" si="1"/>
        <v>35.200000000000003</v>
      </c>
      <c r="J22" s="27">
        <f t="shared" si="0"/>
        <v>272</v>
      </c>
    </row>
    <row r="23" spans="2:13" x14ac:dyDescent="0.35">
      <c r="B23" s="19" t="s">
        <v>38</v>
      </c>
      <c r="C23" s="28">
        <f>C22*$C$6</f>
        <v>589.71264000000008</v>
      </c>
      <c r="D23" s="28">
        <f t="shared" ref="C23:I23" si="2">D22*$C$6</f>
        <v>643.32287999999994</v>
      </c>
      <c r="E23" s="28">
        <f t="shared" si="2"/>
        <v>696.93312000000003</v>
      </c>
      <c r="F23" s="28">
        <f t="shared" si="2"/>
        <v>696.93312000000003</v>
      </c>
      <c r="G23" s="28">
        <f t="shared" si="2"/>
        <v>696.93312000000003</v>
      </c>
      <c r="H23" s="28">
        <f t="shared" si="2"/>
        <v>643.32287999999994</v>
      </c>
      <c r="I23" s="28">
        <f t="shared" si="2"/>
        <v>589.71264000000008</v>
      </c>
      <c r="J23" s="52">
        <f t="shared" si="0"/>
        <v>4556.8703999999998</v>
      </c>
    </row>
    <row r="24" spans="2:13" x14ac:dyDescent="0.35">
      <c r="B24" s="19" t="s">
        <v>39</v>
      </c>
      <c r="C24" s="28">
        <f>$D$13*40</f>
        <v>440</v>
      </c>
      <c r="D24" s="28">
        <f t="shared" ref="C24:I24" si="3">$D$13*40</f>
        <v>440</v>
      </c>
      <c r="E24" s="28">
        <f t="shared" si="3"/>
        <v>440</v>
      </c>
      <c r="F24" s="28">
        <f t="shared" si="3"/>
        <v>440</v>
      </c>
      <c r="G24" s="28">
        <f t="shared" si="3"/>
        <v>440</v>
      </c>
      <c r="H24" s="28">
        <f t="shared" si="3"/>
        <v>440</v>
      </c>
      <c r="I24" s="28">
        <f t="shared" si="3"/>
        <v>440</v>
      </c>
      <c r="J24" s="52">
        <f t="shared" si="0"/>
        <v>3080</v>
      </c>
    </row>
    <row r="25" spans="2:13" x14ac:dyDescent="0.35">
      <c r="B25" s="19" t="s">
        <v>40</v>
      </c>
      <c r="C25" s="28">
        <f t="shared" ref="C25:I25" si="4">C23-C24</f>
        <v>149.71264000000008</v>
      </c>
      <c r="D25" s="28">
        <f t="shared" si="4"/>
        <v>203.32287999999994</v>
      </c>
      <c r="E25" s="28">
        <f t="shared" si="4"/>
        <v>256.93312000000003</v>
      </c>
      <c r="F25" s="28">
        <f t="shared" si="4"/>
        <v>256.93312000000003</v>
      </c>
      <c r="G25" s="28">
        <f t="shared" si="4"/>
        <v>256.93312000000003</v>
      </c>
      <c r="H25" s="28">
        <f t="shared" si="4"/>
        <v>203.32287999999994</v>
      </c>
      <c r="I25" s="28">
        <f t="shared" si="4"/>
        <v>149.71264000000008</v>
      </c>
      <c r="J25" s="52">
        <f t="shared" si="0"/>
        <v>1476.8704000000002</v>
      </c>
    </row>
    <row r="26" spans="2:13" x14ac:dyDescent="0.35">
      <c r="B26" s="19" t="s">
        <v>41</v>
      </c>
      <c r="C26" s="28">
        <f>220</f>
        <v>220</v>
      </c>
      <c r="D26" s="28">
        <f>220</f>
        <v>220</v>
      </c>
      <c r="E26" s="28">
        <f>220</f>
        <v>220</v>
      </c>
      <c r="F26" s="28">
        <f>220</f>
        <v>220</v>
      </c>
      <c r="G26" s="28">
        <f>220</f>
        <v>220</v>
      </c>
      <c r="H26" s="28">
        <f>220</f>
        <v>220</v>
      </c>
      <c r="I26" s="28">
        <f>220</f>
        <v>220</v>
      </c>
      <c r="J26" s="52">
        <f t="shared" si="0"/>
        <v>1540</v>
      </c>
    </row>
    <row r="27" spans="2:13" x14ac:dyDescent="0.35">
      <c r="B27" s="19" t="s">
        <v>44</v>
      </c>
      <c r="C27" s="28">
        <f>MAX(0,C23-C24-C26)</f>
        <v>0</v>
      </c>
      <c r="D27" s="28">
        <f t="shared" ref="D27:I27" si="5">MAX(0,D23-D24-D26)</f>
        <v>0</v>
      </c>
      <c r="E27" s="28">
        <f t="shared" si="5"/>
        <v>36.933120000000031</v>
      </c>
      <c r="F27" s="28">
        <f t="shared" si="5"/>
        <v>36.933120000000031</v>
      </c>
      <c r="G27" s="28">
        <f t="shared" si="5"/>
        <v>36.933120000000031</v>
      </c>
      <c r="H27" s="28">
        <f t="shared" si="5"/>
        <v>0</v>
      </c>
      <c r="I27" s="28">
        <f t="shared" si="5"/>
        <v>0</v>
      </c>
      <c r="J27" s="29">
        <f t="shared" si="0"/>
        <v>110.79936000000009</v>
      </c>
      <c r="K27" s="7" t="s">
        <v>140</v>
      </c>
    </row>
    <row r="28" spans="2:13" x14ac:dyDescent="0.35">
      <c r="B28" s="101"/>
      <c r="C28" s="101"/>
      <c r="D28" s="101"/>
      <c r="E28" s="101"/>
      <c r="F28" s="101"/>
      <c r="G28" s="101"/>
      <c r="H28" s="10"/>
      <c r="K28" s="12"/>
    </row>
    <row r="29" spans="2:13" x14ac:dyDescent="0.35">
      <c r="B29" s="101"/>
      <c r="C29" s="101"/>
      <c r="D29" s="101"/>
      <c r="E29" s="101"/>
      <c r="F29" s="101"/>
      <c r="G29" s="101"/>
      <c r="H29" s="14"/>
      <c r="K29" s="12"/>
    </row>
    <row r="30" spans="2:13" x14ac:dyDescent="0.35">
      <c r="H30" s="10"/>
      <c r="K30" s="12"/>
    </row>
    <row r="31" spans="2:13" x14ac:dyDescent="0.35">
      <c r="B31" s="15"/>
      <c r="H31" s="10"/>
      <c r="K31" s="12"/>
    </row>
    <row r="32" spans="2:13" x14ac:dyDescent="0.35">
      <c r="B32" s="94" t="s">
        <v>31</v>
      </c>
      <c r="C32" s="94"/>
      <c r="D32" s="94"/>
      <c r="E32" s="94"/>
      <c r="F32" s="94"/>
      <c r="G32" s="94"/>
      <c r="H32" s="94"/>
      <c r="I32" s="94"/>
      <c r="J32" s="94"/>
      <c r="K32" s="12"/>
      <c r="L32" s="91" t="s">
        <v>56</v>
      </c>
      <c r="M32" s="93"/>
    </row>
    <row r="33" spans="2:13" s="18" customFormat="1" x14ac:dyDescent="0.35">
      <c r="B33" s="46" t="s">
        <v>27</v>
      </c>
      <c r="C33" s="46">
        <v>1</v>
      </c>
      <c r="D33" s="46">
        <v>2</v>
      </c>
      <c r="E33" s="46">
        <v>3</v>
      </c>
      <c r="F33" s="46">
        <v>4</v>
      </c>
      <c r="G33" s="46">
        <v>5</v>
      </c>
      <c r="H33" s="46">
        <v>6</v>
      </c>
      <c r="I33" s="46">
        <v>7</v>
      </c>
      <c r="J33" s="46" t="s">
        <v>0</v>
      </c>
      <c r="K33" s="12"/>
      <c r="L33" s="19" t="s">
        <v>108</v>
      </c>
      <c r="M33" s="53">
        <f>J34*D15</f>
        <v>46446.415360000006</v>
      </c>
    </row>
    <row r="34" spans="2:13" x14ac:dyDescent="0.35">
      <c r="B34" s="19" t="s">
        <v>42</v>
      </c>
      <c r="C34" s="28">
        <f t="shared" ref="C34:H34" si="6">C23-C24</f>
        <v>149.71264000000008</v>
      </c>
      <c r="D34" s="28">
        <f t="shared" si="6"/>
        <v>203.32287999999994</v>
      </c>
      <c r="E34" s="28">
        <v>220</v>
      </c>
      <c r="F34" s="28">
        <v>220</v>
      </c>
      <c r="G34" s="28">
        <v>220</v>
      </c>
      <c r="H34" s="28">
        <f t="shared" si="6"/>
        <v>203.32287999999994</v>
      </c>
      <c r="I34" s="28">
        <f>I25</f>
        <v>149.71264000000008</v>
      </c>
      <c r="J34" s="29">
        <f>SUM(C34:I34)</f>
        <v>1366.0710400000003</v>
      </c>
      <c r="L34" s="19" t="s">
        <v>110</v>
      </c>
      <c r="M34" s="53">
        <f>M33</f>
        <v>46446.415360000006</v>
      </c>
    </row>
    <row r="35" spans="2:13" x14ac:dyDescent="0.35">
      <c r="B35" s="19" t="s">
        <v>63</v>
      </c>
      <c r="C35" s="98">
        <f>J34*D15</f>
        <v>46446.415360000006</v>
      </c>
      <c r="D35" s="99"/>
      <c r="E35" s="99"/>
      <c r="F35" s="99"/>
      <c r="G35" s="99"/>
      <c r="H35" s="99"/>
      <c r="I35" s="99"/>
      <c r="J35" s="100"/>
    </row>
    <row r="36" spans="2:13" x14ac:dyDescent="0.35">
      <c r="C36" s="16"/>
    </row>
    <row r="37" spans="2:13" s="18" customFormat="1" x14ac:dyDescent="0.35">
      <c r="C37" s="16"/>
    </row>
    <row r="38" spans="2:13" x14ac:dyDescent="0.35">
      <c r="B38" s="91" t="s">
        <v>90</v>
      </c>
      <c r="C38" s="92"/>
      <c r="D38" s="92"/>
      <c r="E38" s="92"/>
      <c r="F38" s="92"/>
      <c r="G38" s="92"/>
      <c r="H38" s="92"/>
      <c r="I38" s="92"/>
      <c r="J38" s="93"/>
    </row>
    <row r="39" spans="2:13" s="18" customFormat="1" x14ac:dyDescent="0.35">
      <c r="B39" s="46" t="s">
        <v>27</v>
      </c>
      <c r="C39" s="46">
        <v>1</v>
      </c>
      <c r="D39" s="46">
        <v>2</v>
      </c>
      <c r="E39" s="46">
        <v>3</v>
      </c>
      <c r="F39" s="46">
        <v>4</v>
      </c>
      <c r="G39" s="46">
        <v>5</v>
      </c>
      <c r="H39" s="46">
        <v>6</v>
      </c>
      <c r="I39" s="46">
        <v>7</v>
      </c>
      <c r="J39" s="46" t="s">
        <v>0</v>
      </c>
    </row>
    <row r="40" spans="2:13" x14ac:dyDescent="0.35">
      <c r="B40" s="19" t="s">
        <v>40</v>
      </c>
      <c r="C40" s="28">
        <f>C25</f>
        <v>149.71264000000008</v>
      </c>
      <c r="D40" s="28">
        <f t="shared" ref="D40:I40" si="7">D25</f>
        <v>203.32287999999994</v>
      </c>
      <c r="E40" s="28">
        <f t="shared" si="7"/>
        <v>256.93312000000003</v>
      </c>
      <c r="F40" s="28">
        <f t="shared" si="7"/>
        <v>256.93312000000003</v>
      </c>
      <c r="G40" s="28">
        <f t="shared" si="7"/>
        <v>256.93312000000003</v>
      </c>
      <c r="H40" s="28">
        <f t="shared" si="7"/>
        <v>203.32287999999994</v>
      </c>
      <c r="I40" s="28">
        <f t="shared" si="7"/>
        <v>149.71264000000008</v>
      </c>
      <c r="J40" s="37">
        <f>J25</f>
        <v>1476.8704000000002</v>
      </c>
    </row>
    <row r="41" spans="2:13" x14ac:dyDescent="0.35">
      <c r="B41" s="19" t="s">
        <v>102</v>
      </c>
      <c r="C41" s="28">
        <f>C40*2</f>
        <v>299.42528000000016</v>
      </c>
      <c r="D41" s="28">
        <f t="shared" ref="D41:I41" si="8">D40*2</f>
        <v>406.64575999999988</v>
      </c>
      <c r="E41" s="28">
        <f t="shared" si="8"/>
        <v>513.86624000000006</v>
      </c>
      <c r="F41" s="28">
        <f t="shared" si="8"/>
        <v>513.86624000000006</v>
      </c>
      <c r="G41" s="28">
        <f t="shared" si="8"/>
        <v>513.86624000000006</v>
      </c>
      <c r="H41" s="28">
        <f t="shared" si="8"/>
        <v>406.64575999999988</v>
      </c>
      <c r="I41" s="28">
        <f t="shared" si="8"/>
        <v>299.42528000000016</v>
      </c>
      <c r="J41" s="37">
        <f>SUM(C41:I41)</f>
        <v>2953.7408000000005</v>
      </c>
      <c r="L41" s="19" t="s">
        <v>109</v>
      </c>
      <c r="M41" s="54">
        <f>J45*D16</f>
        <v>49000</v>
      </c>
    </row>
    <row r="42" spans="2:13" x14ac:dyDescent="0.35">
      <c r="B42" s="19" t="s">
        <v>122</v>
      </c>
      <c r="C42" s="19">
        <v>7</v>
      </c>
      <c r="D42" s="19">
        <v>10</v>
      </c>
      <c r="E42" s="19">
        <v>12</v>
      </c>
      <c r="F42" s="19">
        <v>12</v>
      </c>
      <c r="G42" s="19">
        <v>12</v>
      </c>
      <c r="H42" s="19">
        <v>10</v>
      </c>
      <c r="I42" s="19">
        <v>7</v>
      </c>
      <c r="J42" s="19"/>
      <c r="L42" s="19" t="s">
        <v>137</v>
      </c>
      <c r="M42" s="55">
        <f>12*(300+150)</f>
        <v>5400</v>
      </c>
    </row>
    <row r="43" spans="2:13" x14ac:dyDescent="0.35">
      <c r="B43" s="19" t="s">
        <v>106</v>
      </c>
      <c r="C43" s="19">
        <v>7</v>
      </c>
      <c r="D43" s="19">
        <v>3</v>
      </c>
      <c r="E43" s="19">
        <v>2</v>
      </c>
      <c r="F43" s="19" t="s">
        <v>35</v>
      </c>
      <c r="G43" s="19" t="s">
        <v>35</v>
      </c>
      <c r="H43" s="19"/>
      <c r="I43" s="19"/>
      <c r="J43" s="19"/>
      <c r="K43" s="33">
        <v>12</v>
      </c>
      <c r="L43" s="19" t="s">
        <v>153</v>
      </c>
      <c r="M43" s="55">
        <f>M41+M42</f>
        <v>54400</v>
      </c>
    </row>
    <row r="44" spans="2:13" x14ac:dyDescent="0.35">
      <c r="B44" s="19" t="s">
        <v>107</v>
      </c>
      <c r="C44" s="19"/>
      <c r="D44" s="19"/>
      <c r="E44" s="19"/>
      <c r="F44" s="19"/>
      <c r="G44" s="19"/>
      <c r="H44" s="19">
        <v>2</v>
      </c>
      <c r="I44" s="19">
        <v>3</v>
      </c>
      <c r="J44" s="19">
        <v>7</v>
      </c>
      <c r="K44" s="33">
        <v>12</v>
      </c>
      <c r="L44" s="7" t="s">
        <v>35</v>
      </c>
    </row>
    <row r="45" spans="2:13" x14ac:dyDescent="0.35">
      <c r="B45" s="19" t="s">
        <v>123</v>
      </c>
      <c r="C45" s="19">
        <f>C42*40</f>
        <v>280</v>
      </c>
      <c r="D45" s="19">
        <f t="shared" ref="D45:I45" si="9">D42*40</f>
        <v>400</v>
      </c>
      <c r="E45" s="19">
        <f t="shared" si="9"/>
        <v>480</v>
      </c>
      <c r="F45" s="19">
        <f t="shared" si="9"/>
        <v>480</v>
      </c>
      <c r="G45" s="19">
        <f t="shared" si="9"/>
        <v>480</v>
      </c>
      <c r="H45" s="19">
        <f t="shared" si="9"/>
        <v>400</v>
      </c>
      <c r="I45" s="19">
        <f t="shared" si="9"/>
        <v>280</v>
      </c>
      <c r="J45" s="37">
        <f>SUM(C45:I45)</f>
        <v>2800</v>
      </c>
      <c r="K45" s="13"/>
    </row>
    <row r="46" spans="2:13" x14ac:dyDescent="0.35">
      <c r="B46" s="19" t="s">
        <v>118</v>
      </c>
      <c r="C46" s="28">
        <f t="shared" ref="C46:I46" si="10">C41-C42*40</f>
        <v>19.425280000000157</v>
      </c>
      <c r="D46" s="28">
        <f t="shared" si="10"/>
        <v>6.645759999999882</v>
      </c>
      <c r="E46" s="28">
        <f t="shared" si="10"/>
        <v>33.866240000000062</v>
      </c>
      <c r="F46" s="28">
        <f t="shared" si="10"/>
        <v>33.866240000000062</v>
      </c>
      <c r="G46" s="28">
        <f t="shared" si="10"/>
        <v>33.866240000000062</v>
      </c>
      <c r="H46" s="28">
        <f t="shared" si="10"/>
        <v>6.645759999999882</v>
      </c>
      <c r="I46" s="28">
        <f t="shared" si="10"/>
        <v>19.425280000000157</v>
      </c>
      <c r="J46" s="37">
        <f>SUM(C46:I46)</f>
        <v>153.74080000000026</v>
      </c>
      <c r="K46" s="13"/>
      <c r="L46" s="7" t="s">
        <v>141</v>
      </c>
    </row>
    <row r="49" spans="2:8" x14ac:dyDescent="0.35">
      <c r="B49" s="7" t="s">
        <v>35</v>
      </c>
    </row>
    <row r="50" spans="2:8" x14ac:dyDescent="0.35">
      <c r="C50" s="7" t="s">
        <v>35</v>
      </c>
    </row>
    <row r="51" spans="2:8" x14ac:dyDescent="0.35">
      <c r="C51" s="7" t="s">
        <v>35</v>
      </c>
      <c r="G51" s="17" t="s">
        <v>35</v>
      </c>
      <c r="H51" s="7" t="s">
        <v>35</v>
      </c>
    </row>
    <row r="52" spans="2:8" x14ac:dyDescent="0.35">
      <c r="C52" s="7" t="s">
        <v>35</v>
      </c>
      <c r="G52" s="17" t="s">
        <v>35</v>
      </c>
    </row>
    <row r="53" spans="2:8" x14ac:dyDescent="0.35">
      <c r="C53" s="7" t="s">
        <v>35</v>
      </c>
      <c r="G53" s="17" t="s">
        <v>35</v>
      </c>
    </row>
  </sheetData>
  <mergeCells count="7">
    <mergeCell ref="B12:D12"/>
    <mergeCell ref="B32:J32"/>
    <mergeCell ref="C35:J35"/>
    <mergeCell ref="L32:M32"/>
    <mergeCell ref="B38:J38"/>
    <mergeCell ref="B28:G28"/>
    <mergeCell ref="B29:G29"/>
  </mergeCells>
  <pageMargins left="0.7" right="0.7" top="0.75" bottom="0.75" header="0.3" footer="0.3"/>
  <pageSetup scale="8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53"/>
  <sheetViews>
    <sheetView topLeftCell="G40" workbookViewId="0">
      <selection activeCell="G53" sqref="G53"/>
    </sheetView>
  </sheetViews>
  <sheetFormatPr defaultColWidth="9.08984375" defaultRowHeight="14.5" x14ac:dyDescent="0.35"/>
  <cols>
    <col min="1" max="1" width="9.08984375" style="7"/>
    <col min="2" max="2" width="30.6328125" style="7" customWidth="1"/>
    <col min="3" max="3" width="7.54296875" style="7" customWidth="1"/>
    <col min="4" max="4" width="11.08984375" style="7" customWidth="1"/>
    <col min="5" max="5" width="9.453125" style="7" customWidth="1"/>
    <col min="6" max="6" width="6.6328125" style="7" customWidth="1"/>
    <col min="7" max="7" width="10" style="7" bestFit="1" customWidth="1"/>
    <col min="8" max="9" width="6.6328125" style="7" customWidth="1"/>
    <col min="10" max="11" width="7.6328125" style="7" customWidth="1"/>
    <col min="12" max="12" width="7.6328125" style="18" customWidth="1"/>
    <col min="13" max="13" width="21" style="7" customWidth="1"/>
    <col min="14" max="14" width="10.36328125" style="7" customWidth="1"/>
    <col min="15" max="15" width="9.453125" style="7" customWidth="1"/>
    <col min="16" max="16" width="10.08984375" style="7" customWidth="1"/>
    <col min="17" max="17" width="9.08984375" style="7"/>
    <col min="18" max="18" width="10.6328125" style="7" customWidth="1"/>
    <col min="19" max="16384" width="9.08984375" style="7"/>
  </cols>
  <sheetData>
    <row r="1" spans="1:18" x14ac:dyDescent="0.35">
      <c r="B1" s="57" t="s">
        <v>99</v>
      </c>
    </row>
    <row r="3" spans="1:18" x14ac:dyDescent="0.35">
      <c r="B3" s="91" t="s">
        <v>36</v>
      </c>
      <c r="C3" s="92"/>
      <c r="D3" s="93"/>
    </row>
    <row r="4" spans="1:18" x14ac:dyDescent="0.35">
      <c r="B4" s="19" t="s">
        <v>25</v>
      </c>
      <c r="C4" s="19">
        <v>21.3</v>
      </c>
      <c r="D4" s="19" t="s">
        <v>24</v>
      </c>
    </row>
    <row r="5" spans="1:18" x14ac:dyDescent="0.35">
      <c r="B5" s="19" t="s">
        <v>65</v>
      </c>
      <c r="C5" s="20">
        <f>C4*0.214</f>
        <v>4.5582000000000003</v>
      </c>
      <c r="D5" s="19" t="s">
        <v>24</v>
      </c>
    </row>
    <row r="6" spans="1:18" x14ac:dyDescent="0.35">
      <c r="B6" s="19" t="s">
        <v>26</v>
      </c>
      <c r="C6" s="20">
        <f>C4+C5</f>
        <v>25.8582</v>
      </c>
      <c r="D6" s="19" t="s">
        <v>24</v>
      </c>
    </row>
    <row r="7" spans="1:18" x14ac:dyDescent="0.35">
      <c r="B7" s="19" t="s">
        <v>29</v>
      </c>
      <c r="C7" s="19">
        <v>320</v>
      </c>
      <c r="D7" s="19"/>
    </row>
    <row r="9" spans="1:18" s="18" customFormat="1" x14ac:dyDescent="0.35">
      <c r="B9" s="91" t="s">
        <v>30</v>
      </c>
      <c r="C9" s="93"/>
      <c r="K9" s="30"/>
      <c r="L9" s="30"/>
      <c r="M9" s="30"/>
      <c r="N9" s="30"/>
      <c r="O9" s="43"/>
    </row>
    <row r="10" spans="1:18" s="18" customFormat="1" x14ac:dyDescent="0.35">
      <c r="B10" s="44" t="s">
        <v>61</v>
      </c>
      <c r="C10" s="19">
        <v>11</v>
      </c>
      <c r="K10" s="30"/>
      <c r="L10" s="30"/>
      <c r="M10" s="30"/>
      <c r="N10" s="30"/>
      <c r="O10" s="43"/>
    </row>
    <row r="11" spans="1:18" s="18" customFormat="1" x14ac:dyDescent="0.35">
      <c r="B11" s="44" t="s">
        <v>62</v>
      </c>
      <c r="C11" s="23">
        <v>24</v>
      </c>
      <c r="K11" s="30"/>
      <c r="L11" s="30"/>
      <c r="M11" s="30"/>
      <c r="N11" s="30"/>
      <c r="O11" s="43"/>
    </row>
    <row r="12" spans="1:18" s="18" customFormat="1" x14ac:dyDescent="0.35">
      <c r="B12" s="44" t="s">
        <v>88</v>
      </c>
      <c r="C12" s="24">
        <v>34</v>
      </c>
      <c r="K12" s="30"/>
      <c r="L12" s="30"/>
      <c r="M12" s="30"/>
      <c r="N12" s="30"/>
      <c r="O12" s="43"/>
    </row>
    <row r="13" spans="1:18" s="18" customFormat="1" x14ac:dyDescent="0.35">
      <c r="B13" s="44" t="s">
        <v>100</v>
      </c>
      <c r="C13" s="23">
        <v>17.5</v>
      </c>
      <c r="K13" s="30"/>
      <c r="L13" s="30"/>
      <c r="M13" s="30"/>
      <c r="N13" s="30"/>
      <c r="O13" s="43"/>
    </row>
    <row r="14" spans="1:18" s="18" customFormat="1" x14ac:dyDescent="0.35">
      <c r="B14" s="44" t="s">
        <v>60</v>
      </c>
      <c r="C14" s="25">
        <v>400</v>
      </c>
      <c r="K14" s="30"/>
      <c r="L14" s="30"/>
      <c r="M14" s="30"/>
      <c r="N14" s="30"/>
      <c r="O14" s="43"/>
    </row>
    <row r="15" spans="1:18" s="18" customFormat="1" x14ac:dyDescent="0.35">
      <c r="N15" s="30"/>
      <c r="O15" s="30"/>
      <c r="P15" s="30"/>
      <c r="Q15" s="30"/>
      <c r="R15" s="43"/>
    </row>
    <row r="16" spans="1:18" x14ac:dyDescent="0.35">
      <c r="A16" s="7" t="s">
        <v>35</v>
      </c>
    </row>
    <row r="17" spans="2:14" x14ac:dyDescent="0.35">
      <c r="B17" s="45" t="s">
        <v>27</v>
      </c>
      <c r="C17" s="46">
        <v>1</v>
      </c>
      <c r="D17" s="46">
        <v>2</v>
      </c>
      <c r="E17" s="46">
        <v>3</v>
      </c>
      <c r="F17" s="46">
        <v>4</v>
      </c>
      <c r="G17" s="46">
        <v>5</v>
      </c>
      <c r="H17" s="46">
        <v>6</v>
      </c>
      <c r="I17" s="46">
        <v>7</v>
      </c>
      <c r="J17" s="46" t="s">
        <v>0</v>
      </c>
    </row>
    <row r="18" spans="2:14" x14ac:dyDescent="0.35">
      <c r="B18" s="19" t="s">
        <v>37</v>
      </c>
      <c r="C18" s="26">
        <v>0.08</v>
      </c>
      <c r="D18" s="26">
        <v>0.09</v>
      </c>
      <c r="E18" s="26">
        <v>0.11</v>
      </c>
      <c r="F18" s="26">
        <v>0.11</v>
      </c>
      <c r="G18" s="26">
        <v>0.11</v>
      </c>
      <c r="H18" s="26">
        <v>0.08</v>
      </c>
      <c r="I18" s="26">
        <v>7.0000000000000007E-2</v>
      </c>
      <c r="J18" s="26">
        <f t="shared" ref="J18:J24" si="0">SUM(C18:I18)</f>
        <v>0.64999999999999991</v>
      </c>
    </row>
    <row r="19" spans="2:14" x14ac:dyDescent="0.35">
      <c r="B19" s="19" t="s">
        <v>29</v>
      </c>
      <c r="C19" s="19">
        <f t="shared" ref="C19:I19" si="1">C18*$C$7</f>
        <v>25.6</v>
      </c>
      <c r="D19" s="19">
        <f t="shared" si="1"/>
        <v>28.799999999999997</v>
      </c>
      <c r="E19" s="19">
        <f t="shared" si="1"/>
        <v>35.200000000000003</v>
      </c>
      <c r="F19" s="19">
        <f t="shared" si="1"/>
        <v>35.200000000000003</v>
      </c>
      <c r="G19" s="19">
        <f t="shared" si="1"/>
        <v>35.200000000000003</v>
      </c>
      <c r="H19" s="19">
        <f t="shared" si="1"/>
        <v>25.6</v>
      </c>
      <c r="I19" s="19">
        <f t="shared" si="1"/>
        <v>22.400000000000002</v>
      </c>
      <c r="J19" s="27">
        <f t="shared" si="0"/>
        <v>208</v>
      </c>
    </row>
    <row r="20" spans="2:14" x14ac:dyDescent="0.35">
      <c r="B20" s="19" t="s">
        <v>38</v>
      </c>
      <c r="C20" s="28">
        <f>C19*$C$6</f>
        <v>661.96992</v>
      </c>
      <c r="D20" s="28">
        <f t="shared" ref="C20:I20" si="2">D19*$C$6</f>
        <v>744.71615999999995</v>
      </c>
      <c r="E20" s="28">
        <f t="shared" si="2"/>
        <v>910.20864000000006</v>
      </c>
      <c r="F20" s="28">
        <f t="shared" si="2"/>
        <v>910.20864000000006</v>
      </c>
      <c r="G20" s="28">
        <f t="shared" si="2"/>
        <v>910.20864000000006</v>
      </c>
      <c r="H20" s="28">
        <f t="shared" si="2"/>
        <v>661.96992</v>
      </c>
      <c r="I20" s="28">
        <f t="shared" si="2"/>
        <v>579.22368000000006</v>
      </c>
      <c r="J20" s="29">
        <f t="shared" si="0"/>
        <v>5378.5055999999995</v>
      </c>
    </row>
    <row r="21" spans="2:14" x14ac:dyDescent="0.35">
      <c r="B21" s="19" t="s">
        <v>43</v>
      </c>
      <c r="C21" s="28">
        <f t="shared" ref="C21:I21" si="3">$C$10*40</f>
        <v>440</v>
      </c>
      <c r="D21" s="28">
        <f t="shared" si="3"/>
        <v>440</v>
      </c>
      <c r="E21" s="28">
        <f t="shared" si="3"/>
        <v>440</v>
      </c>
      <c r="F21" s="28">
        <f t="shared" si="3"/>
        <v>440</v>
      </c>
      <c r="G21" s="28">
        <f t="shared" si="3"/>
        <v>440</v>
      </c>
      <c r="H21" s="28">
        <f t="shared" si="3"/>
        <v>440</v>
      </c>
      <c r="I21" s="28">
        <f t="shared" si="3"/>
        <v>440</v>
      </c>
      <c r="J21" s="27">
        <f t="shared" si="0"/>
        <v>3080</v>
      </c>
    </row>
    <row r="22" spans="2:14" x14ac:dyDescent="0.35">
      <c r="B22" s="19" t="s">
        <v>40</v>
      </c>
      <c r="C22" s="28">
        <f t="shared" ref="C22:I22" si="4">C20-C21</f>
        <v>221.96992</v>
      </c>
      <c r="D22" s="28">
        <f t="shared" si="4"/>
        <v>304.71615999999995</v>
      </c>
      <c r="E22" s="28">
        <f t="shared" si="4"/>
        <v>470.20864000000006</v>
      </c>
      <c r="F22" s="28">
        <f t="shared" si="4"/>
        <v>470.20864000000006</v>
      </c>
      <c r="G22" s="28">
        <f t="shared" si="4"/>
        <v>470.20864000000006</v>
      </c>
      <c r="H22" s="28">
        <f t="shared" si="4"/>
        <v>221.96992</v>
      </c>
      <c r="I22" s="28">
        <f t="shared" si="4"/>
        <v>139.22368000000006</v>
      </c>
      <c r="J22" s="29">
        <f t="shared" si="0"/>
        <v>2298.5056000000004</v>
      </c>
    </row>
    <row r="23" spans="2:14" x14ac:dyDescent="0.35">
      <c r="B23" s="19" t="s">
        <v>41</v>
      </c>
      <c r="C23" s="19">
        <f t="shared" ref="C23:I23" si="5">$C$10*20</f>
        <v>220</v>
      </c>
      <c r="D23" s="19">
        <f t="shared" si="5"/>
        <v>220</v>
      </c>
      <c r="E23" s="19">
        <f t="shared" si="5"/>
        <v>220</v>
      </c>
      <c r="F23" s="19">
        <f t="shared" si="5"/>
        <v>220</v>
      </c>
      <c r="G23" s="19">
        <f t="shared" si="5"/>
        <v>220</v>
      </c>
      <c r="H23" s="19">
        <f t="shared" si="5"/>
        <v>220</v>
      </c>
      <c r="I23" s="19">
        <f t="shared" si="5"/>
        <v>220</v>
      </c>
      <c r="J23" s="27">
        <f>SUM(C23:I23)</f>
        <v>1540</v>
      </c>
    </row>
    <row r="24" spans="2:14" x14ac:dyDescent="0.35">
      <c r="B24" s="19" t="s">
        <v>44</v>
      </c>
      <c r="C24" s="28">
        <f t="shared" ref="C24:I24" si="6">MAX(0,C20-C21-C23)</f>
        <v>1.9699200000000019</v>
      </c>
      <c r="D24" s="28">
        <f t="shared" si="6"/>
        <v>84.716159999999945</v>
      </c>
      <c r="E24" s="28">
        <f t="shared" si="6"/>
        <v>250.20864000000006</v>
      </c>
      <c r="F24" s="28">
        <f t="shared" si="6"/>
        <v>250.20864000000006</v>
      </c>
      <c r="G24" s="28">
        <f t="shared" si="6"/>
        <v>250.20864000000006</v>
      </c>
      <c r="H24" s="28">
        <f t="shared" si="6"/>
        <v>1.9699200000000019</v>
      </c>
      <c r="I24" s="28">
        <f t="shared" si="6"/>
        <v>0</v>
      </c>
      <c r="J24" s="29">
        <f t="shared" si="0"/>
        <v>839.28192000000013</v>
      </c>
    </row>
    <row r="25" spans="2:14" s="18" customFormat="1" x14ac:dyDescent="0.35">
      <c r="B25" s="30"/>
      <c r="C25" s="31"/>
      <c r="D25" s="31"/>
      <c r="E25" s="31"/>
      <c r="F25" s="31"/>
      <c r="G25" s="31"/>
      <c r="H25" s="31"/>
      <c r="I25" s="31"/>
      <c r="J25" s="32"/>
    </row>
    <row r="26" spans="2:14" s="18" customFormat="1" x14ac:dyDescent="0.35">
      <c r="B26" s="30"/>
      <c r="C26" s="31"/>
      <c r="D26" s="31"/>
      <c r="E26" s="31"/>
      <c r="F26" s="31"/>
      <c r="G26" s="31"/>
      <c r="H26" s="31"/>
      <c r="I26" s="31"/>
      <c r="J26" s="32"/>
    </row>
    <row r="27" spans="2:14" x14ac:dyDescent="0.35">
      <c r="H27" s="10"/>
      <c r="K27" s="12"/>
      <c r="L27" s="12"/>
      <c r="M27" s="7" t="s">
        <v>35</v>
      </c>
    </row>
    <row r="28" spans="2:14" x14ac:dyDescent="0.35">
      <c r="B28" s="91" t="s">
        <v>101</v>
      </c>
      <c r="C28" s="92"/>
      <c r="D28" s="92"/>
      <c r="E28" s="92"/>
      <c r="F28" s="92"/>
      <c r="G28" s="92"/>
      <c r="H28" s="92"/>
      <c r="I28" s="92"/>
      <c r="J28" s="93"/>
      <c r="K28" s="12"/>
      <c r="L28" s="12"/>
    </row>
    <row r="29" spans="2:14" x14ac:dyDescent="0.35">
      <c r="B29" s="19" t="s">
        <v>40</v>
      </c>
      <c r="C29" s="34">
        <f>MIN(220,C24)</f>
        <v>1.9699200000000019</v>
      </c>
      <c r="D29" s="34">
        <v>85</v>
      </c>
      <c r="E29" s="34">
        <v>250</v>
      </c>
      <c r="F29" s="34">
        <v>250</v>
      </c>
      <c r="G29" s="34">
        <v>250</v>
      </c>
      <c r="H29" s="34">
        <v>2</v>
      </c>
      <c r="I29" s="34">
        <v>0</v>
      </c>
      <c r="J29" s="35">
        <f>SUM(C29:I29)</f>
        <v>838.96992</v>
      </c>
      <c r="M29" s="45" t="s">
        <v>89</v>
      </c>
      <c r="N29" s="36">
        <f>J23*C12</f>
        <v>52360</v>
      </c>
    </row>
    <row r="30" spans="2:14" x14ac:dyDescent="0.35">
      <c r="B30" s="19" t="s">
        <v>102</v>
      </c>
      <c r="C30" s="22">
        <v>4</v>
      </c>
      <c r="D30" s="22">
        <v>170</v>
      </c>
      <c r="E30" s="22">
        <v>500</v>
      </c>
      <c r="F30" s="22">
        <v>500</v>
      </c>
      <c r="G30" s="22">
        <v>500</v>
      </c>
      <c r="H30" s="22">
        <v>4</v>
      </c>
      <c r="I30" s="22"/>
      <c r="J30" s="22">
        <f>SUM(C30:I30)</f>
        <v>1678</v>
      </c>
      <c r="M30" s="45" t="s">
        <v>109</v>
      </c>
      <c r="N30" s="36">
        <f>J34*C13</f>
        <v>28000</v>
      </c>
    </row>
    <row r="31" spans="2:14" x14ac:dyDescent="0.35">
      <c r="B31" s="19" t="s">
        <v>103</v>
      </c>
      <c r="C31" s="22"/>
      <c r="D31" s="22">
        <v>4</v>
      </c>
      <c r="E31" s="22">
        <v>12</v>
      </c>
      <c r="F31" s="22">
        <v>12</v>
      </c>
      <c r="G31" s="22">
        <v>12</v>
      </c>
      <c r="H31" s="22">
        <v>0</v>
      </c>
      <c r="I31" s="22"/>
      <c r="J31" s="22"/>
      <c r="M31" s="45" t="s">
        <v>124</v>
      </c>
      <c r="N31" s="36">
        <f>12*450</f>
        <v>5400</v>
      </c>
    </row>
    <row r="32" spans="2:14" x14ac:dyDescent="0.35">
      <c r="B32" s="19" t="s">
        <v>104</v>
      </c>
      <c r="C32" s="22"/>
      <c r="D32" s="22">
        <v>4</v>
      </c>
      <c r="E32" s="22">
        <v>8</v>
      </c>
      <c r="F32" s="22"/>
      <c r="G32" s="22"/>
      <c r="H32" s="22"/>
      <c r="I32" s="22"/>
      <c r="J32" s="22">
        <v>12</v>
      </c>
      <c r="M32" s="45" t="s">
        <v>111</v>
      </c>
      <c r="N32" s="36">
        <f>SUM(N29:N31)</f>
        <v>85760</v>
      </c>
    </row>
    <row r="33" spans="2:14" x14ac:dyDescent="0.35">
      <c r="B33" s="19" t="s">
        <v>105</v>
      </c>
      <c r="C33" s="22"/>
      <c r="D33" s="22"/>
      <c r="E33" s="22"/>
      <c r="F33" s="22"/>
      <c r="G33" s="22"/>
      <c r="H33" s="22">
        <v>12</v>
      </c>
      <c r="I33" s="22"/>
      <c r="J33" s="22">
        <v>12</v>
      </c>
    </row>
    <row r="34" spans="2:14" x14ac:dyDescent="0.35">
      <c r="B34" s="19" t="s">
        <v>123</v>
      </c>
      <c r="C34" s="22"/>
      <c r="D34" s="22">
        <v>160</v>
      </c>
      <c r="E34" s="22">
        <v>480</v>
      </c>
      <c r="F34" s="22">
        <v>480</v>
      </c>
      <c r="G34" s="22">
        <v>480</v>
      </c>
      <c r="H34" s="22"/>
      <c r="I34" s="22"/>
      <c r="J34" s="22">
        <f>SUM(D34:G34)</f>
        <v>1600</v>
      </c>
      <c r="N34" s="6"/>
    </row>
    <row r="35" spans="2:14" x14ac:dyDescent="0.35">
      <c r="B35" s="19" t="s">
        <v>118</v>
      </c>
      <c r="C35" s="22">
        <v>4</v>
      </c>
      <c r="D35" s="22">
        <v>10</v>
      </c>
      <c r="E35" s="22">
        <v>20</v>
      </c>
      <c r="F35" s="22">
        <v>20</v>
      </c>
      <c r="G35" s="22">
        <v>20</v>
      </c>
      <c r="H35" s="22">
        <v>4</v>
      </c>
      <c r="I35" s="22"/>
      <c r="J35" s="22">
        <f>SUM(C35:H35)</f>
        <v>78</v>
      </c>
      <c r="K35" s="7" t="s">
        <v>144</v>
      </c>
      <c r="L35" s="7"/>
      <c r="N35" s="6"/>
    </row>
    <row r="36" spans="2:14" s="18" customFormat="1" x14ac:dyDescent="0.35">
      <c r="N36" s="6"/>
    </row>
    <row r="37" spans="2:14" s="18" customFormat="1" x14ac:dyDescent="0.35">
      <c r="N37" s="6"/>
    </row>
    <row r="39" spans="2:14" x14ac:dyDescent="0.35">
      <c r="B39" s="91" t="s">
        <v>90</v>
      </c>
      <c r="C39" s="92"/>
      <c r="D39" s="92"/>
      <c r="E39" s="92"/>
      <c r="F39" s="92"/>
      <c r="G39" s="92"/>
      <c r="H39" s="92"/>
      <c r="I39" s="92"/>
      <c r="J39" s="92"/>
      <c r="K39" s="93"/>
      <c r="L39" s="40"/>
    </row>
    <row r="40" spans="2:14" x14ac:dyDescent="0.35">
      <c r="B40" s="19" t="s">
        <v>45</v>
      </c>
      <c r="C40" s="28">
        <v>221.96992</v>
      </c>
      <c r="D40" s="28">
        <v>304.71615999999995</v>
      </c>
      <c r="E40" s="28">
        <v>470.20864000000006</v>
      </c>
      <c r="F40" s="28">
        <v>470.20864000000006</v>
      </c>
      <c r="G40" s="28">
        <v>470.20864000000006</v>
      </c>
      <c r="H40" s="28">
        <v>221.96992</v>
      </c>
      <c r="I40" s="28">
        <v>139.22368000000006</v>
      </c>
      <c r="J40" s="37">
        <v>2298.5056000000004</v>
      </c>
      <c r="K40" s="19"/>
      <c r="L40" s="30"/>
      <c r="M40" s="45" t="s">
        <v>109</v>
      </c>
      <c r="N40" s="42">
        <f>J41*C13</f>
        <v>80447.696000000011</v>
      </c>
    </row>
    <row r="41" spans="2:14" x14ac:dyDescent="0.35">
      <c r="B41" s="19" t="s">
        <v>102</v>
      </c>
      <c r="C41" s="28">
        <f t="shared" ref="C41:I41" si="7">C40*2</f>
        <v>443.93984</v>
      </c>
      <c r="D41" s="28">
        <f t="shared" si="7"/>
        <v>609.43231999999989</v>
      </c>
      <c r="E41" s="28">
        <f t="shared" si="7"/>
        <v>940.41728000000012</v>
      </c>
      <c r="F41" s="28">
        <f t="shared" si="7"/>
        <v>940.41728000000012</v>
      </c>
      <c r="G41" s="28">
        <f t="shared" si="7"/>
        <v>940.41728000000012</v>
      </c>
      <c r="H41" s="28">
        <f t="shared" si="7"/>
        <v>443.93984</v>
      </c>
      <c r="I41" s="28">
        <f t="shared" si="7"/>
        <v>278.44736000000012</v>
      </c>
      <c r="J41" s="37">
        <f>SUM(C41:I41)</f>
        <v>4597.0112000000008</v>
      </c>
      <c r="K41" s="19"/>
      <c r="L41" s="30"/>
      <c r="M41" s="45" t="s">
        <v>124</v>
      </c>
      <c r="N41" s="36">
        <f>K43*300+K44*150</f>
        <v>10350</v>
      </c>
    </row>
    <row r="42" spans="2:14" x14ac:dyDescent="0.35">
      <c r="B42" s="19" t="s">
        <v>122</v>
      </c>
      <c r="C42" s="19">
        <v>11</v>
      </c>
      <c r="D42" s="19">
        <v>15</v>
      </c>
      <c r="E42" s="19">
        <v>23</v>
      </c>
      <c r="F42" s="19">
        <v>23</v>
      </c>
      <c r="G42" s="19">
        <v>23</v>
      </c>
      <c r="H42" s="19">
        <v>11</v>
      </c>
      <c r="I42" s="19">
        <v>6</v>
      </c>
      <c r="J42" s="19"/>
      <c r="K42" s="19"/>
      <c r="L42" s="30"/>
      <c r="M42" s="45" t="s">
        <v>111</v>
      </c>
      <c r="N42" s="36">
        <f>N40+N41</f>
        <v>90797.696000000011</v>
      </c>
    </row>
    <row r="43" spans="2:14" x14ac:dyDescent="0.35">
      <c r="B43" s="38" t="s">
        <v>104</v>
      </c>
      <c r="C43" s="19">
        <v>11</v>
      </c>
      <c r="D43" s="19">
        <v>4</v>
      </c>
      <c r="E43" s="19">
        <v>8</v>
      </c>
      <c r="F43" s="19">
        <v>0</v>
      </c>
      <c r="G43" s="19">
        <v>0</v>
      </c>
      <c r="H43" s="19"/>
      <c r="I43" s="19"/>
      <c r="J43" s="19"/>
      <c r="K43" s="39">
        <f>SUM(C43:J43)</f>
        <v>23</v>
      </c>
      <c r="L43" s="41"/>
    </row>
    <row r="44" spans="2:14" x14ac:dyDescent="0.35">
      <c r="B44" s="19" t="s">
        <v>105</v>
      </c>
      <c r="C44" s="19"/>
      <c r="D44" s="19"/>
      <c r="E44" s="19"/>
      <c r="F44" s="19"/>
      <c r="G44" s="19"/>
      <c r="H44" s="19">
        <v>12</v>
      </c>
      <c r="I44" s="19">
        <v>5</v>
      </c>
      <c r="J44" s="19">
        <v>6</v>
      </c>
      <c r="K44" s="39">
        <f>SUM(C44:J44)</f>
        <v>23</v>
      </c>
      <c r="L44" s="41"/>
    </row>
    <row r="45" spans="2:14" x14ac:dyDescent="0.35">
      <c r="B45" s="19" t="s">
        <v>123</v>
      </c>
      <c r="C45" s="19">
        <f>C42*40</f>
        <v>440</v>
      </c>
      <c r="D45" s="19">
        <f t="shared" ref="D45:I45" si="8">D42*40</f>
        <v>600</v>
      </c>
      <c r="E45" s="19">
        <f t="shared" si="8"/>
        <v>920</v>
      </c>
      <c r="F45" s="19">
        <f t="shared" si="8"/>
        <v>920</v>
      </c>
      <c r="G45" s="19">
        <f t="shared" si="8"/>
        <v>920</v>
      </c>
      <c r="H45" s="19">
        <f t="shared" si="8"/>
        <v>440</v>
      </c>
      <c r="I45" s="19">
        <f t="shared" si="8"/>
        <v>240</v>
      </c>
      <c r="J45" s="19"/>
      <c r="K45" s="39"/>
      <c r="L45" s="41"/>
    </row>
    <row r="46" spans="2:14" x14ac:dyDescent="0.35">
      <c r="B46" s="19" t="s">
        <v>118</v>
      </c>
      <c r="C46" s="28">
        <f>C41-C45</f>
        <v>3.9398400000000038</v>
      </c>
      <c r="D46" s="28">
        <f t="shared" ref="D46:I46" si="9">D41-D45</f>
        <v>9.4323199999998906</v>
      </c>
      <c r="E46" s="28">
        <f t="shared" si="9"/>
        <v>20.417280000000119</v>
      </c>
      <c r="F46" s="28">
        <f t="shared" si="9"/>
        <v>20.417280000000119</v>
      </c>
      <c r="G46" s="28">
        <f t="shared" si="9"/>
        <v>20.417280000000119</v>
      </c>
      <c r="H46" s="28">
        <f t="shared" si="9"/>
        <v>3.9398400000000038</v>
      </c>
      <c r="I46" s="28">
        <f t="shared" si="9"/>
        <v>38.447360000000117</v>
      </c>
      <c r="J46" s="28">
        <f>SUM(C46:I46)</f>
        <v>117.01120000000037</v>
      </c>
      <c r="K46" s="19"/>
      <c r="L46" s="7" t="s">
        <v>143</v>
      </c>
    </row>
    <row r="47" spans="2:14" x14ac:dyDescent="0.35">
      <c r="M47" s="7" t="s">
        <v>35</v>
      </c>
    </row>
    <row r="49" spans="2:20" ht="15" thickBot="1" x14ac:dyDescent="0.4">
      <c r="S49" s="1"/>
      <c r="T49" s="1"/>
    </row>
    <row r="50" spans="2:20" x14ac:dyDescent="0.35">
      <c r="B50" s="91" t="s">
        <v>134</v>
      </c>
      <c r="C50" s="92"/>
      <c r="D50" s="92"/>
      <c r="E50" s="92"/>
      <c r="F50" s="92"/>
      <c r="G50" s="93"/>
      <c r="T50" s="3"/>
    </row>
    <row r="51" spans="2:20" x14ac:dyDescent="0.35">
      <c r="B51" s="91" t="s">
        <v>149</v>
      </c>
      <c r="C51" s="93"/>
      <c r="D51" s="47" t="s">
        <v>18</v>
      </c>
      <c r="E51" s="47" t="s">
        <v>19</v>
      </c>
      <c r="F51" s="47"/>
      <c r="G51" s="47" t="s">
        <v>0</v>
      </c>
      <c r="T51" s="4"/>
    </row>
    <row r="52" spans="2:20" x14ac:dyDescent="0.35">
      <c r="B52" s="45" t="s">
        <v>135</v>
      </c>
      <c r="C52" s="19"/>
      <c r="D52" s="21">
        <v>46446</v>
      </c>
      <c r="E52" s="21">
        <v>85760</v>
      </c>
      <c r="F52" s="21"/>
      <c r="G52" s="21">
        <f>D52+E52</f>
        <v>132206</v>
      </c>
    </row>
    <row r="53" spans="2:20" x14ac:dyDescent="0.35">
      <c r="B53" s="45" t="s">
        <v>136</v>
      </c>
      <c r="C53" s="19"/>
      <c r="D53" s="21">
        <v>54400</v>
      </c>
      <c r="E53" s="21">
        <v>90798</v>
      </c>
      <c r="F53" s="21"/>
      <c r="G53" s="21">
        <f>D53+E53</f>
        <v>145198</v>
      </c>
    </row>
  </sheetData>
  <mergeCells count="6">
    <mergeCell ref="B51:C51"/>
    <mergeCell ref="B50:G50"/>
    <mergeCell ref="B28:J28"/>
    <mergeCell ref="B39:K39"/>
    <mergeCell ref="B3:D3"/>
    <mergeCell ref="B9:C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74"/>
  <sheetViews>
    <sheetView tabSelected="1" topLeftCell="A64" workbookViewId="0">
      <selection activeCell="H73" sqref="H73"/>
    </sheetView>
  </sheetViews>
  <sheetFormatPr defaultColWidth="9.08984375" defaultRowHeight="14.5" x14ac:dyDescent="0.35"/>
  <cols>
    <col min="1" max="1" width="9.08984375" style="18"/>
    <col min="2" max="2" width="30.6328125" style="7" customWidth="1"/>
    <col min="3" max="3" width="9.453125" style="7" customWidth="1"/>
    <col min="4" max="4" width="7.6328125" style="7" customWidth="1"/>
    <col min="5" max="5" width="9.1796875" style="7" customWidth="1"/>
    <col min="6" max="10" width="7.6328125" style="7" customWidth="1"/>
    <col min="11" max="11" width="11.54296875" style="7" bestFit="1" customWidth="1"/>
    <col min="12" max="12" width="28.6328125" style="7" customWidth="1"/>
    <col min="13" max="13" width="8.54296875" style="7" customWidth="1"/>
    <col min="14" max="16384" width="9.08984375" style="7"/>
  </cols>
  <sheetData>
    <row r="1" spans="2:16" x14ac:dyDescent="0.35">
      <c r="B1" s="110" t="s">
        <v>114</v>
      </c>
      <c r="C1" s="110"/>
    </row>
    <row r="3" spans="2:16" s="18" customFormat="1" x14ac:dyDescent="0.35">
      <c r="B3" s="109" t="s">
        <v>23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</row>
    <row r="4" spans="2:16" x14ac:dyDescent="0.35"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</row>
    <row r="5" spans="2:16" x14ac:dyDescent="0.35">
      <c r="B5" s="111" t="s">
        <v>23</v>
      </c>
      <c r="C5" s="112"/>
      <c r="D5" s="113"/>
      <c r="E5" s="30"/>
      <c r="F5" s="91" t="s">
        <v>30</v>
      </c>
      <c r="G5" s="92"/>
      <c r="H5" s="92"/>
      <c r="I5" s="92"/>
      <c r="J5" s="93"/>
      <c r="K5" s="30"/>
      <c r="L5" s="30"/>
      <c r="M5" s="30"/>
      <c r="N5" s="30"/>
      <c r="O5" s="30"/>
      <c r="P5" s="30"/>
    </row>
    <row r="6" spans="2:16" x14ac:dyDescent="0.35">
      <c r="B6" s="19" t="s">
        <v>25</v>
      </c>
      <c r="C6" s="19">
        <v>13.8</v>
      </c>
      <c r="D6" s="19" t="s">
        <v>24</v>
      </c>
      <c r="E6" s="30"/>
      <c r="F6" s="96" t="s">
        <v>61</v>
      </c>
      <c r="G6" s="96"/>
      <c r="H6" s="96"/>
      <c r="I6" s="96"/>
      <c r="J6" s="19">
        <v>13</v>
      </c>
      <c r="K6" s="30"/>
      <c r="L6" s="30"/>
      <c r="M6" s="30"/>
      <c r="N6" s="30"/>
      <c r="O6" s="30"/>
      <c r="P6" s="30"/>
    </row>
    <row r="7" spans="2:16" x14ac:dyDescent="0.35">
      <c r="B7" s="19" t="s">
        <v>65</v>
      </c>
      <c r="C7" s="20">
        <f>C6*0.214</f>
        <v>2.9532000000000003</v>
      </c>
      <c r="D7" s="19" t="s">
        <v>24</v>
      </c>
      <c r="E7" s="30"/>
      <c r="F7" s="96" t="s">
        <v>62</v>
      </c>
      <c r="G7" s="96"/>
      <c r="H7" s="96"/>
      <c r="I7" s="96"/>
      <c r="J7" s="23">
        <v>24</v>
      </c>
      <c r="K7" s="30" t="s">
        <v>35</v>
      </c>
      <c r="L7" s="30"/>
      <c r="M7" s="30"/>
      <c r="N7" s="30"/>
      <c r="O7" s="30"/>
      <c r="P7" s="30"/>
    </row>
    <row r="8" spans="2:16" x14ac:dyDescent="0.35">
      <c r="B8" s="19" t="s">
        <v>26</v>
      </c>
      <c r="C8" s="20">
        <v>16.8</v>
      </c>
      <c r="D8" s="19" t="s">
        <v>24</v>
      </c>
      <c r="E8" s="30"/>
      <c r="F8" s="95" t="s">
        <v>81</v>
      </c>
      <c r="G8" s="95"/>
      <c r="H8" s="95"/>
      <c r="I8" s="95"/>
      <c r="J8" s="24">
        <v>34</v>
      </c>
      <c r="K8" s="30" t="s">
        <v>35</v>
      </c>
      <c r="L8" s="30"/>
      <c r="M8" s="30"/>
      <c r="N8" s="30"/>
      <c r="O8" s="30"/>
      <c r="P8" s="30"/>
    </row>
    <row r="9" spans="2:16" x14ac:dyDescent="0.35">
      <c r="B9" s="19" t="s">
        <v>29</v>
      </c>
      <c r="C9" s="19">
        <v>320</v>
      </c>
      <c r="D9" s="19"/>
      <c r="E9" s="30"/>
      <c r="F9" s="95" t="s">
        <v>97</v>
      </c>
      <c r="G9" s="95"/>
      <c r="H9" s="95"/>
      <c r="I9" s="95"/>
      <c r="J9" s="23">
        <v>17.5</v>
      </c>
      <c r="K9" s="30" t="s">
        <v>35</v>
      </c>
      <c r="L9" s="30"/>
      <c r="M9" s="30"/>
      <c r="N9" s="30"/>
      <c r="O9" s="30"/>
      <c r="P9" s="30"/>
    </row>
    <row r="10" spans="2:16" x14ac:dyDescent="0.35">
      <c r="B10" s="30"/>
      <c r="C10" s="30"/>
      <c r="D10" s="30"/>
      <c r="E10" s="30"/>
      <c r="F10" s="95" t="s">
        <v>60</v>
      </c>
      <c r="G10" s="95"/>
      <c r="H10" s="95"/>
      <c r="I10" s="95"/>
      <c r="J10" s="25">
        <v>400</v>
      </c>
      <c r="K10" s="30"/>
      <c r="L10" s="30"/>
      <c r="M10" s="30"/>
      <c r="N10" s="30"/>
      <c r="O10" s="30"/>
      <c r="P10" s="30"/>
    </row>
    <row r="11" spans="2:16" x14ac:dyDescent="0.35">
      <c r="B11" s="30"/>
      <c r="C11" s="30"/>
      <c r="D11" s="30"/>
      <c r="E11" s="30"/>
      <c r="F11" s="95" t="s">
        <v>64</v>
      </c>
      <c r="G11" s="95"/>
      <c r="H11" s="95"/>
      <c r="I11" s="95"/>
      <c r="J11" s="58">
        <v>21.6</v>
      </c>
      <c r="K11" s="30" t="s">
        <v>35</v>
      </c>
      <c r="L11" s="30"/>
      <c r="M11" s="30"/>
      <c r="N11" s="30"/>
      <c r="O11" s="30"/>
      <c r="P11" s="30"/>
    </row>
    <row r="12" spans="2:16" x14ac:dyDescent="0.35">
      <c r="B12" s="30"/>
      <c r="C12" s="30"/>
      <c r="D12" s="30"/>
      <c r="E12" s="30"/>
      <c r="F12" s="19" t="s">
        <v>81</v>
      </c>
      <c r="G12" s="19"/>
      <c r="H12" s="19"/>
      <c r="I12" s="19"/>
      <c r="J12" s="58">
        <v>31</v>
      </c>
      <c r="K12" s="30"/>
      <c r="L12" s="30"/>
      <c r="M12" s="30"/>
      <c r="N12" s="30"/>
      <c r="O12" s="30"/>
      <c r="P12" s="30"/>
    </row>
    <row r="13" spans="2:16" s="18" customFormat="1" x14ac:dyDescent="0.35">
      <c r="B13" s="30"/>
      <c r="C13" s="30"/>
      <c r="D13" s="30"/>
      <c r="E13" s="30"/>
      <c r="F13" s="30"/>
      <c r="G13" s="30"/>
      <c r="H13" s="30"/>
      <c r="I13" s="30"/>
      <c r="J13" s="78"/>
      <c r="K13" s="30"/>
      <c r="L13" s="30"/>
      <c r="M13" s="30"/>
      <c r="N13" s="30"/>
      <c r="O13" s="30"/>
      <c r="P13" s="30"/>
    </row>
    <row r="14" spans="2:16" s="18" customFormat="1" x14ac:dyDescent="0.35">
      <c r="B14" s="30"/>
      <c r="C14" s="30"/>
      <c r="D14" s="30"/>
      <c r="E14" s="30"/>
      <c r="F14" s="30"/>
      <c r="G14" s="30"/>
      <c r="H14" s="30"/>
      <c r="I14" s="30"/>
      <c r="J14" s="78"/>
      <c r="K14" s="30"/>
      <c r="L14" s="30"/>
      <c r="M14" s="30"/>
      <c r="N14" s="30"/>
      <c r="O14" s="30"/>
      <c r="P14" s="30"/>
    </row>
    <row r="15" spans="2:16" s="18" customFormat="1" x14ac:dyDescent="0.35">
      <c r="B15" s="30"/>
      <c r="C15" s="30"/>
      <c r="D15" s="30"/>
      <c r="E15" s="30"/>
      <c r="F15" s="30"/>
      <c r="G15" s="30"/>
      <c r="H15" s="30"/>
      <c r="I15" s="30"/>
      <c r="J15" s="78"/>
      <c r="K15" s="30"/>
      <c r="L15" s="30"/>
      <c r="M15" s="30"/>
      <c r="N15" s="30"/>
      <c r="O15" s="30"/>
      <c r="P15" s="30"/>
    </row>
    <row r="16" spans="2:16" x14ac:dyDescent="0.35"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</row>
    <row r="17" spans="2:17" x14ac:dyDescent="0.35">
      <c r="B17" s="46" t="s">
        <v>27</v>
      </c>
      <c r="C17" s="46">
        <v>1</v>
      </c>
      <c r="D17" s="46">
        <v>2</v>
      </c>
      <c r="E17" s="46">
        <v>3</v>
      </c>
      <c r="F17" s="46">
        <v>4</v>
      </c>
      <c r="G17" s="46">
        <v>5</v>
      </c>
      <c r="H17" s="46">
        <v>6</v>
      </c>
      <c r="I17" s="46">
        <v>7</v>
      </c>
      <c r="J17" s="46" t="s">
        <v>0</v>
      </c>
      <c r="K17" s="30"/>
      <c r="L17" s="30"/>
      <c r="M17" s="30"/>
      <c r="N17" s="30"/>
      <c r="O17" s="30"/>
      <c r="P17" s="30"/>
    </row>
    <row r="18" spans="2:17" x14ac:dyDescent="0.35">
      <c r="B18" s="19" t="s">
        <v>37</v>
      </c>
      <c r="C18" s="26">
        <v>0.11</v>
      </c>
      <c r="D18" s="26">
        <v>0.12</v>
      </c>
      <c r="E18" s="26">
        <v>0.13</v>
      </c>
      <c r="F18" s="26">
        <v>0.13</v>
      </c>
      <c r="G18" s="26">
        <v>0.13</v>
      </c>
      <c r="H18" s="26">
        <v>0.12</v>
      </c>
      <c r="I18" s="26">
        <v>0.11</v>
      </c>
      <c r="J18" s="26">
        <f t="shared" ref="J18:J24" si="0">SUM(C18:I18)</f>
        <v>0.85</v>
      </c>
      <c r="K18" s="30"/>
      <c r="L18" s="30"/>
      <c r="M18" s="30"/>
      <c r="N18" s="30"/>
      <c r="O18" s="30"/>
      <c r="P18" s="30"/>
    </row>
    <row r="19" spans="2:17" x14ac:dyDescent="0.35">
      <c r="B19" s="19" t="s">
        <v>29</v>
      </c>
      <c r="C19" s="19">
        <f t="shared" ref="C19:I19" si="1">C18*$C$9</f>
        <v>35.200000000000003</v>
      </c>
      <c r="D19" s="19">
        <f t="shared" si="1"/>
        <v>38.4</v>
      </c>
      <c r="E19" s="19">
        <f t="shared" si="1"/>
        <v>41.6</v>
      </c>
      <c r="F19" s="19">
        <f t="shared" si="1"/>
        <v>41.6</v>
      </c>
      <c r="G19" s="19">
        <f t="shared" si="1"/>
        <v>41.6</v>
      </c>
      <c r="H19" s="19">
        <f t="shared" si="1"/>
        <v>38.4</v>
      </c>
      <c r="I19" s="19">
        <f t="shared" si="1"/>
        <v>35.200000000000003</v>
      </c>
      <c r="J19" s="37">
        <f t="shared" si="0"/>
        <v>272</v>
      </c>
      <c r="K19" s="30"/>
      <c r="L19" s="30"/>
      <c r="M19" s="30"/>
      <c r="N19" s="30"/>
      <c r="O19" s="30"/>
      <c r="P19" s="30"/>
    </row>
    <row r="20" spans="2:17" x14ac:dyDescent="0.35">
      <c r="B20" s="19" t="s">
        <v>115</v>
      </c>
      <c r="C20" s="28">
        <f>C19*$C$8</f>
        <v>591.36000000000013</v>
      </c>
      <c r="D20" s="28">
        <f t="shared" ref="C20:I20" si="2">D19*$C$8</f>
        <v>645.12</v>
      </c>
      <c r="E20" s="28">
        <f t="shared" si="2"/>
        <v>698.88000000000011</v>
      </c>
      <c r="F20" s="28">
        <f t="shared" si="2"/>
        <v>698.88000000000011</v>
      </c>
      <c r="G20" s="28">
        <f t="shared" si="2"/>
        <v>698.88000000000011</v>
      </c>
      <c r="H20" s="28">
        <f t="shared" si="2"/>
        <v>645.12</v>
      </c>
      <c r="I20" s="28">
        <f t="shared" si="2"/>
        <v>591.36000000000013</v>
      </c>
      <c r="J20" s="37">
        <f t="shared" si="0"/>
        <v>4569.6000000000004</v>
      </c>
      <c r="K20" s="30"/>
      <c r="L20" s="30"/>
      <c r="M20" s="30"/>
      <c r="N20" s="30"/>
      <c r="O20" s="30"/>
      <c r="P20" s="30"/>
    </row>
    <row r="21" spans="2:17" x14ac:dyDescent="0.35">
      <c r="B21" s="19" t="s">
        <v>116</v>
      </c>
      <c r="C21" s="28">
        <f>$J$6*40</f>
        <v>520</v>
      </c>
      <c r="D21" s="28">
        <f t="shared" ref="C21:I21" si="3">$J$6*40</f>
        <v>520</v>
      </c>
      <c r="E21" s="28">
        <f t="shared" si="3"/>
        <v>520</v>
      </c>
      <c r="F21" s="28">
        <f t="shared" si="3"/>
        <v>520</v>
      </c>
      <c r="G21" s="28">
        <f t="shared" si="3"/>
        <v>520</v>
      </c>
      <c r="H21" s="28">
        <f t="shared" si="3"/>
        <v>520</v>
      </c>
      <c r="I21" s="28">
        <f t="shared" si="3"/>
        <v>520</v>
      </c>
      <c r="J21" s="37">
        <f t="shared" si="0"/>
        <v>3640</v>
      </c>
      <c r="K21" s="30"/>
      <c r="L21" s="30"/>
      <c r="M21" s="30"/>
      <c r="N21" s="30"/>
      <c r="O21" s="30"/>
      <c r="P21" s="30"/>
    </row>
    <row r="22" spans="2:17" x14ac:dyDescent="0.35">
      <c r="B22" s="19" t="s">
        <v>40</v>
      </c>
      <c r="C22" s="28">
        <f t="shared" ref="C22:I22" si="4">C20-C21</f>
        <v>71.360000000000127</v>
      </c>
      <c r="D22" s="28">
        <f t="shared" si="4"/>
        <v>125.12</v>
      </c>
      <c r="E22" s="28">
        <f t="shared" si="4"/>
        <v>178.88000000000011</v>
      </c>
      <c r="F22" s="28">
        <f t="shared" si="4"/>
        <v>178.88000000000011</v>
      </c>
      <c r="G22" s="28">
        <f t="shared" si="4"/>
        <v>178.88000000000011</v>
      </c>
      <c r="H22" s="28">
        <f t="shared" si="4"/>
        <v>125.12</v>
      </c>
      <c r="I22" s="28">
        <f t="shared" si="4"/>
        <v>71.360000000000127</v>
      </c>
      <c r="J22" s="37">
        <f t="shared" si="0"/>
        <v>929.60000000000059</v>
      </c>
      <c r="K22" s="30"/>
      <c r="L22" s="30"/>
      <c r="M22" s="30"/>
      <c r="N22" s="30"/>
      <c r="O22" s="30"/>
      <c r="P22" s="30"/>
      <c r="Q22" s="7" t="s">
        <v>35</v>
      </c>
    </row>
    <row r="23" spans="2:17" x14ac:dyDescent="0.35">
      <c r="B23" s="19" t="s">
        <v>117</v>
      </c>
      <c r="C23" s="19">
        <f t="shared" ref="C23:I23" si="5">$J$6*20</f>
        <v>260</v>
      </c>
      <c r="D23" s="19">
        <f t="shared" si="5"/>
        <v>260</v>
      </c>
      <c r="E23" s="19">
        <f t="shared" si="5"/>
        <v>260</v>
      </c>
      <c r="F23" s="19">
        <f t="shared" si="5"/>
        <v>260</v>
      </c>
      <c r="G23" s="19">
        <f t="shared" si="5"/>
        <v>260</v>
      </c>
      <c r="H23" s="19">
        <f t="shared" si="5"/>
        <v>260</v>
      </c>
      <c r="I23" s="19">
        <f t="shared" si="5"/>
        <v>260</v>
      </c>
      <c r="J23" s="37">
        <f t="shared" si="0"/>
        <v>1820</v>
      </c>
      <c r="K23" s="30"/>
      <c r="L23" s="30"/>
      <c r="M23" s="30"/>
      <c r="N23" s="30"/>
      <c r="O23" s="30"/>
      <c r="P23" s="30"/>
    </row>
    <row r="24" spans="2:17" x14ac:dyDescent="0.35">
      <c r="B24" s="19" t="s">
        <v>118</v>
      </c>
      <c r="C24" s="28">
        <f t="shared" ref="C24:I24" si="6">MAX(0,C20-C21-C23)</f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  <c r="H24" s="28">
        <f t="shared" si="6"/>
        <v>0</v>
      </c>
      <c r="I24" s="28">
        <f t="shared" si="6"/>
        <v>0</v>
      </c>
      <c r="J24" s="29">
        <f t="shared" si="0"/>
        <v>0</v>
      </c>
      <c r="K24" s="30"/>
      <c r="L24" s="30"/>
      <c r="M24" s="30"/>
      <c r="N24" s="30"/>
      <c r="O24" s="30"/>
      <c r="P24" s="30"/>
    </row>
    <row r="25" spans="2:17" x14ac:dyDescent="0.35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</row>
    <row r="26" spans="2:17" x14ac:dyDescent="0.35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</row>
    <row r="27" spans="2:17" x14ac:dyDescent="0.35">
      <c r="B27" s="91" t="s">
        <v>31</v>
      </c>
      <c r="C27" s="92"/>
      <c r="D27" s="92"/>
      <c r="E27" s="92"/>
      <c r="F27" s="92"/>
      <c r="G27" s="92"/>
      <c r="H27" s="92"/>
      <c r="I27" s="92"/>
      <c r="J27" s="93"/>
      <c r="K27" s="30"/>
      <c r="L27" s="79"/>
      <c r="M27" s="30"/>
      <c r="N27" s="30"/>
      <c r="O27" s="30"/>
      <c r="P27" s="30"/>
    </row>
    <row r="28" spans="2:17" x14ac:dyDescent="0.35">
      <c r="B28" s="19" t="s">
        <v>54</v>
      </c>
      <c r="C28" s="28">
        <f t="shared" ref="C28:H28" si="7">C20-C21</f>
        <v>71.360000000000127</v>
      </c>
      <c r="D28" s="28">
        <f t="shared" si="7"/>
        <v>125.12</v>
      </c>
      <c r="E28" s="28">
        <f t="shared" si="7"/>
        <v>178.88000000000011</v>
      </c>
      <c r="F28" s="28">
        <f t="shared" si="7"/>
        <v>178.88000000000011</v>
      </c>
      <c r="G28" s="28">
        <f t="shared" si="7"/>
        <v>178.88000000000011</v>
      </c>
      <c r="H28" s="28">
        <f t="shared" si="7"/>
        <v>125.12</v>
      </c>
      <c r="I28" s="28">
        <f>I22</f>
        <v>71.360000000000127</v>
      </c>
      <c r="J28" s="29">
        <f>SUM(C28:I28)</f>
        <v>929.60000000000059</v>
      </c>
      <c r="K28" s="30" t="s">
        <v>121</v>
      </c>
      <c r="L28" s="79"/>
      <c r="M28" s="30"/>
      <c r="N28" s="30"/>
      <c r="O28" s="30"/>
      <c r="P28" s="30"/>
    </row>
    <row r="29" spans="2:17" x14ac:dyDescent="0.35">
      <c r="B29" s="45" t="s">
        <v>55</v>
      </c>
      <c r="C29" s="114">
        <f>J28*J8</f>
        <v>31606.40000000002</v>
      </c>
      <c r="D29" s="115"/>
      <c r="E29" s="115"/>
      <c r="F29" s="116"/>
      <c r="G29" s="102"/>
      <c r="H29" s="108"/>
      <c r="I29" s="108"/>
      <c r="J29" s="103"/>
      <c r="K29" s="30"/>
      <c r="L29" s="79"/>
      <c r="M29" s="30"/>
      <c r="N29" s="30"/>
      <c r="O29" s="30"/>
      <c r="P29" s="30"/>
    </row>
    <row r="30" spans="2:17" s="18" customFormat="1" x14ac:dyDescent="0.35">
      <c r="B30" s="30"/>
      <c r="C30" s="84"/>
      <c r="D30" s="30"/>
      <c r="E30" s="30"/>
      <c r="F30" s="30"/>
      <c r="G30" s="30"/>
      <c r="H30" s="30"/>
      <c r="I30" s="30"/>
      <c r="J30" s="30"/>
      <c r="K30" s="30"/>
      <c r="L30" s="79"/>
      <c r="M30" s="30"/>
      <c r="N30" s="30"/>
      <c r="O30" s="30"/>
      <c r="P30" s="30"/>
    </row>
    <row r="31" spans="2:17" s="18" customFormat="1" x14ac:dyDescent="0.35">
      <c r="B31" s="30"/>
      <c r="C31" s="84"/>
      <c r="D31" s="30"/>
      <c r="E31" s="30"/>
      <c r="F31" s="30"/>
      <c r="G31" s="30"/>
      <c r="H31" s="30"/>
      <c r="I31" s="30"/>
      <c r="J31" s="30"/>
      <c r="K31" s="30"/>
      <c r="L31" s="79"/>
      <c r="M31" s="30"/>
      <c r="N31" s="30"/>
      <c r="O31" s="30"/>
      <c r="P31" s="30"/>
    </row>
    <row r="32" spans="2:17" x14ac:dyDescent="0.35">
      <c r="C32" s="6"/>
      <c r="L32" s="12"/>
    </row>
    <row r="33" spans="2:18" x14ac:dyDescent="0.35">
      <c r="B33" s="109" t="s">
        <v>36</v>
      </c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83"/>
      <c r="P33" s="83"/>
      <c r="Q33" s="83"/>
      <c r="R33" s="83"/>
    </row>
    <row r="34" spans="2:18" s="18" customFormat="1" x14ac:dyDescent="0.35">
      <c r="B34" s="85"/>
      <c r="C34" s="85"/>
      <c r="D34" s="85"/>
      <c r="E34" s="85"/>
      <c r="F34" s="85"/>
      <c r="G34" s="85"/>
      <c r="H34" s="85"/>
      <c r="I34" s="85"/>
      <c r="J34" s="85"/>
      <c r="K34" s="85"/>
      <c r="L34" s="85"/>
      <c r="M34" s="85"/>
      <c r="N34" s="85"/>
      <c r="O34" s="83"/>
      <c r="P34" s="83"/>
      <c r="Q34" s="83"/>
      <c r="R34" s="83"/>
    </row>
    <row r="35" spans="2:18" x14ac:dyDescent="0.35">
      <c r="B35" s="30"/>
      <c r="C35" s="30"/>
      <c r="D35" s="30"/>
      <c r="E35" s="30"/>
      <c r="F35" s="91" t="s">
        <v>30</v>
      </c>
      <c r="G35" s="92"/>
      <c r="H35" s="92"/>
      <c r="I35" s="92"/>
      <c r="J35" s="92"/>
      <c r="K35" s="92"/>
      <c r="L35" s="92"/>
      <c r="M35" s="93"/>
      <c r="N35" s="30"/>
      <c r="O35" s="30"/>
      <c r="P35" s="30"/>
      <c r="Q35" s="30"/>
    </row>
    <row r="36" spans="2:18" x14ac:dyDescent="0.35">
      <c r="B36" s="19" t="s">
        <v>25</v>
      </c>
      <c r="C36" s="19">
        <v>21.3</v>
      </c>
      <c r="D36" s="19" t="s">
        <v>24</v>
      </c>
      <c r="E36" s="30"/>
      <c r="F36" s="96" t="s">
        <v>61</v>
      </c>
      <c r="G36" s="96"/>
      <c r="H36" s="96"/>
      <c r="I36" s="96"/>
      <c r="J36" s="19">
        <v>13</v>
      </c>
      <c r="K36" s="19" t="s">
        <v>83</v>
      </c>
      <c r="L36" s="19"/>
      <c r="M36" s="19">
        <v>2</v>
      </c>
      <c r="N36" s="30"/>
      <c r="O36" s="30"/>
      <c r="P36" s="30"/>
      <c r="Q36" s="30"/>
    </row>
    <row r="37" spans="2:18" x14ac:dyDescent="0.35">
      <c r="B37" s="19" t="s">
        <v>65</v>
      </c>
      <c r="C37" s="20">
        <f>C36*0.214</f>
        <v>4.5582000000000003</v>
      </c>
      <c r="D37" s="19" t="s">
        <v>24</v>
      </c>
      <c r="E37" s="30"/>
      <c r="F37" s="96" t="s">
        <v>62</v>
      </c>
      <c r="G37" s="96"/>
      <c r="H37" s="96"/>
      <c r="I37" s="96"/>
      <c r="J37" s="23">
        <v>24</v>
      </c>
      <c r="K37" s="19" t="s">
        <v>112</v>
      </c>
      <c r="L37" s="19"/>
      <c r="M37" s="23">
        <v>21.6</v>
      </c>
      <c r="N37" s="30"/>
      <c r="O37" s="30"/>
      <c r="P37" s="30"/>
      <c r="Q37" s="30"/>
    </row>
    <row r="38" spans="2:18" x14ac:dyDescent="0.35">
      <c r="B38" s="19" t="s">
        <v>26</v>
      </c>
      <c r="C38" s="20">
        <f>C36+C37</f>
        <v>25.8582</v>
      </c>
      <c r="D38" s="19" t="s">
        <v>24</v>
      </c>
      <c r="E38" s="30"/>
      <c r="F38" s="95" t="s">
        <v>81</v>
      </c>
      <c r="G38" s="95"/>
      <c r="H38" s="95"/>
      <c r="I38" s="95"/>
      <c r="J38" s="24">
        <v>34</v>
      </c>
      <c r="K38" s="19" t="s">
        <v>82</v>
      </c>
      <c r="L38" s="19"/>
      <c r="M38" s="23">
        <v>31</v>
      </c>
      <c r="N38" s="30"/>
      <c r="O38" s="30"/>
      <c r="P38" s="30"/>
      <c r="Q38" s="30"/>
    </row>
    <row r="39" spans="2:18" x14ac:dyDescent="0.35">
      <c r="B39" s="19" t="s">
        <v>29</v>
      </c>
      <c r="C39" s="19">
        <v>320</v>
      </c>
      <c r="D39" s="19"/>
      <c r="E39" s="30"/>
      <c r="F39" s="95" t="s">
        <v>138</v>
      </c>
      <c r="G39" s="95"/>
      <c r="H39" s="95"/>
      <c r="I39" s="95"/>
      <c r="J39" s="23">
        <v>17.5</v>
      </c>
      <c r="K39" s="102"/>
      <c r="L39" s="103"/>
      <c r="M39" s="19"/>
      <c r="N39" s="30"/>
      <c r="O39" s="30"/>
      <c r="P39" s="30"/>
      <c r="Q39" s="30"/>
    </row>
    <row r="40" spans="2:18" x14ac:dyDescent="0.35">
      <c r="B40" s="30"/>
      <c r="C40" s="30"/>
      <c r="D40" s="30"/>
      <c r="E40" s="30"/>
      <c r="F40" s="95" t="s">
        <v>113</v>
      </c>
      <c r="G40" s="95"/>
      <c r="H40" s="95"/>
      <c r="I40" s="95"/>
      <c r="J40" s="25">
        <v>400</v>
      </c>
      <c r="K40" s="102"/>
      <c r="L40" s="103"/>
      <c r="M40" s="19"/>
      <c r="N40" s="30"/>
      <c r="O40" s="30"/>
      <c r="P40" s="30"/>
      <c r="Q40" s="30"/>
    </row>
    <row r="41" spans="2:18" s="18" customFormat="1" x14ac:dyDescent="0.35">
      <c r="B41" s="30"/>
      <c r="C41" s="30"/>
      <c r="D41" s="30"/>
      <c r="E41" s="30"/>
      <c r="F41" s="30"/>
      <c r="G41" s="30"/>
      <c r="H41" s="30"/>
      <c r="I41" s="30"/>
      <c r="J41" s="43"/>
      <c r="K41" s="30"/>
      <c r="L41" s="30"/>
      <c r="M41" s="30"/>
      <c r="N41" s="30"/>
      <c r="O41" s="30"/>
      <c r="P41" s="30"/>
      <c r="Q41" s="30"/>
      <c r="R41" s="30"/>
    </row>
    <row r="42" spans="2:18" s="18" customFormat="1" x14ac:dyDescent="0.35">
      <c r="B42" s="30"/>
      <c r="C42" s="30"/>
      <c r="D42" s="30"/>
      <c r="E42" s="30"/>
      <c r="F42" s="30"/>
      <c r="G42" s="30"/>
      <c r="H42" s="30"/>
      <c r="I42" s="30"/>
      <c r="J42" s="43"/>
      <c r="K42" s="30"/>
      <c r="L42" s="30"/>
      <c r="M42" s="30"/>
      <c r="N42" s="30"/>
      <c r="O42" s="30"/>
      <c r="P42" s="30"/>
      <c r="Q42" s="30"/>
      <c r="R42" s="30"/>
    </row>
    <row r="43" spans="2:18" s="18" customFormat="1" x14ac:dyDescent="0.35">
      <c r="B43" s="30"/>
      <c r="C43" s="30"/>
      <c r="D43" s="30"/>
      <c r="E43" s="30"/>
      <c r="F43" s="30"/>
      <c r="G43" s="30"/>
      <c r="H43" s="30"/>
      <c r="I43" s="30"/>
      <c r="J43" s="43"/>
      <c r="K43" s="30"/>
      <c r="L43" s="30"/>
      <c r="M43" s="30"/>
      <c r="N43" s="30"/>
      <c r="O43" s="30"/>
      <c r="P43" s="30"/>
      <c r="Q43" s="30"/>
      <c r="R43" s="30"/>
    </row>
    <row r="44" spans="2:18" x14ac:dyDescent="0.35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</row>
    <row r="45" spans="2:18" x14ac:dyDescent="0.35">
      <c r="B45" s="46" t="s">
        <v>27</v>
      </c>
      <c r="C45" s="46">
        <v>1</v>
      </c>
      <c r="D45" s="46">
        <v>2</v>
      </c>
      <c r="E45" s="46">
        <v>3</v>
      </c>
      <c r="F45" s="46">
        <v>4</v>
      </c>
      <c r="G45" s="46">
        <v>5</v>
      </c>
      <c r="H45" s="46">
        <v>6</v>
      </c>
      <c r="I45" s="46">
        <v>7</v>
      </c>
      <c r="J45" s="46" t="s">
        <v>0</v>
      </c>
      <c r="K45" s="30"/>
      <c r="L45" s="30"/>
      <c r="M45" s="30"/>
      <c r="N45" s="30"/>
      <c r="O45" s="30"/>
      <c r="P45" s="30"/>
      <c r="Q45" s="30"/>
      <c r="R45" s="30"/>
    </row>
    <row r="46" spans="2:18" x14ac:dyDescent="0.35">
      <c r="B46" s="19" t="s">
        <v>37</v>
      </c>
      <c r="C46" s="26">
        <v>0.08</v>
      </c>
      <c r="D46" s="26">
        <v>0.09</v>
      </c>
      <c r="E46" s="26">
        <v>0.11</v>
      </c>
      <c r="F46" s="26">
        <v>0.11</v>
      </c>
      <c r="G46" s="26">
        <v>0.11</v>
      </c>
      <c r="H46" s="26">
        <v>0.08</v>
      </c>
      <c r="I46" s="26">
        <v>7.0000000000000007E-2</v>
      </c>
      <c r="J46" s="26">
        <f t="shared" ref="J46:J53" si="8">SUM(C46:I46)</f>
        <v>0.64999999999999991</v>
      </c>
      <c r="K46" s="30"/>
      <c r="L46" s="91" t="s">
        <v>31</v>
      </c>
      <c r="M46" s="93"/>
      <c r="N46" s="30"/>
      <c r="O46" s="30"/>
      <c r="P46" s="30"/>
      <c r="Q46" s="30"/>
      <c r="R46" s="30"/>
    </row>
    <row r="47" spans="2:18" x14ac:dyDescent="0.35">
      <c r="B47" s="19" t="s">
        <v>29</v>
      </c>
      <c r="C47" s="19">
        <f t="shared" ref="C47:I47" si="9">C46*$C$9</f>
        <v>25.6</v>
      </c>
      <c r="D47" s="19">
        <f t="shared" si="9"/>
        <v>28.799999999999997</v>
      </c>
      <c r="E47" s="19">
        <f t="shared" si="9"/>
        <v>35.200000000000003</v>
      </c>
      <c r="F47" s="19">
        <f t="shared" si="9"/>
        <v>35.200000000000003</v>
      </c>
      <c r="G47" s="19">
        <f t="shared" si="9"/>
        <v>35.200000000000003</v>
      </c>
      <c r="H47" s="19">
        <f t="shared" si="9"/>
        <v>25.6</v>
      </c>
      <c r="I47" s="19">
        <f t="shared" si="9"/>
        <v>22.400000000000002</v>
      </c>
      <c r="J47" s="37">
        <f t="shared" si="8"/>
        <v>208</v>
      </c>
      <c r="K47" s="30"/>
      <c r="L47" s="19" t="s">
        <v>86</v>
      </c>
      <c r="M47" s="21">
        <f>J52*J38</f>
        <v>41587.559680000006</v>
      </c>
      <c r="N47" s="30"/>
      <c r="O47" s="30"/>
      <c r="P47" s="30"/>
      <c r="Q47" s="30"/>
      <c r="R47" s="30"/>
    </row>
    <row r="48" spans="2:18" x14ac:dyDescent="0.35">
      <c r="B48" s="19" t="s">
        <v>119</v>
      </c>
      <c r="C48" s="28">
        <f>C47*$C$38</f>
        <v>661.96992</v>
      </c>
      <c r="D48" s="28">
        <f t="shared" ref="D48:I48" si="10">D47*$C$38</f>
        <v>744.71615999999995</v>
      </c>
      <c r="E48" s="28">
        <f t="shared" si="10"/>
        <v>910.20864000000006</v>
      </c>
      <c r="F48" s="28">
        <f t="shared" si="10"/>
        <v>910.20864000000006</v>
      </c>
      <c r="G48" s="28">
        <f t="shared" si="10"/>
        <v>910.20864000000006</v>
      </c>
      <c r="H48" s="28">
        <f t="shared" si="10"/>
        <v>661.96992</v>
      </c>
      <c r="I48" s="28">
        <f t="shared" si="10"/>
        <v>579.22368000000006</v>
      </c>
      <c r="J48" s="37">
        <f t="shared" si="8"/>
        <v>5378.5055999999995</v>
      </c>
      <c r="K48" s="30"/>
      <c r="L48" s="19" t="s">
        <v>87</v>
      </c>
      <c r="M48" s="21">
        <f>J53*M38</f>
        <v>3875</v>
      </c>
      <c r="N48" s="30"/>
      <c r="O48" s="30"/>
      <c r="P48" s="30"/>
      <c r="Q48" s="30"/>
      <c r="R48" s="30"/>
    </row>
    <row r="49" spans="2:18" x14ac:dyDescent="0.35">
      <c r="B49" s="19" t="s">
        <v>116</v>
      </c>
      <c r="C49" s="28">
        <f t="shared" ref="C49:I49" si="11">$J$6*40</f>
        <v>520</v>
      </c>
      <c r="D49" s="28">
        <f t="shared" si="11"/>
        <v>520</v>
      </c>
      <c r="E49" s="28">
        <f t="shared" si="11"/>
        <v>520</v>
      </c>
      <c r="F49" s="28">
        <f t="shared" si="11"/>
        <v>520</v>
      </c>
      <c r="G49" s="28">
        <f t="shared" si="11"/>
        <v>520</v>
      </c>
      <c r="H49" s="28">
        <f t="shared" si="11"/>
        <v>520</v>
      </c>
      <c r="I49" s="28">
        <f t="shared" si="11"/>
        <v>520</v>
      </c>
      <c r="J49" s="37">
        <f t="shared" si="8"/>
        <v>3640</v>
      </c>
      <c r="K49" s="30"/>
      <c r="L49" s="19" t="s">
        <v>139</v>
      </c>
      <c r="M49" s="86">
        <f>J56*J39</f>
        <v>12600</v>
      </c>
      <c r="N49" s="30"/>
      <c r="O49" s="30"/>
      <c r="P49" s="30"/>
      <c r="Q49" s="30"/>
      <c r="R49" s="30"/>
    </row>
    <row r="50" spans="2:18" x14ac:dyDescent="0.35">
      <c r="B50" s="19" t="s">
        <v>40</v>
      </c>
      <c r="C50" s="28">
        <f t="shared" ref="C50:I50" si="12">C48-C49</f>
        <v>141.96992</v>
      </c>
      <c r="D50" s="28">
        <f t="shared" si="12"/>
        <v>224.71615999999995</v>
      </c>
      <c r="E50" s="28">
        <f t="shared" si="12"/>
        <v>390.20864000000006</v>
      </c>
      <c r="F50" s="28">
        <f t="shared" si="12"/>
        <v>390.20864000000006</v>
      </c>
      <c r="G50" s="28">
        <f t="shared" si="12"/>
        <v>390.20864000000006</v>
      </c>
      <c r="H50" s="28">
        <f t="shared" si="12"/>
        <v>141.96992</v>
      </c>
      <c r="I50" s="28">
        <f t="shared" si="12"/>
        <v>59.223680000000058</v>
      </c>
      <c r="J50" s="37">
        <f t="shared" si="8"/>
        <v>1738.5056000000002</v>
      </c>
      <c r="K50" s="30"/>
      <c r="L50" s="19" t="s">
        <v>137</v>
      </c>
      <c r="M50" s="21">
        <f>6*450</f>
        <v>2700</v>
      </c>
      <c r="N50" s="30"/>
      <c r="O50" s="30"/>
      <c r="P50" s="30"/>
      <c r="Q50" s="30"/>
      <c r="R50" s="30"/>
    </row>
    <row r="51" spans="2:18" x14ac:dyDescent="0.35">
      <c r="B51" s="19" t="s">
        <v>117</v>
      </c>
      <c r="C51" s="19">
        <v>260</v>
      </c>
      <c r="D51" s="19">
        <f t="shared" ref="D51:I51" si="13">$J$6*20</f>
        <v>260</v>
      </c>
      <c r="E51" s="19">
        <f t="shared" si="13"/>
        <v>260</v>
      </c>
      <c r="F51" s="19">
        <f t="shared" si="13"/>
        <v>260</v>
      </c>
      <c r="G51" s="19">
        <f t="shared" si="13"/>
        <v>260</v>
      </c>
      <c r="H51" s="19">
        <f t="shared" si="13"/>
        <v>260</v>
      </c>
      <c r="I51" s="19">
        <f t="shared" si="13"/>
        <v>260</v>
      </c>
      <c r="J51" s="37">
        <f t="shared" si="8"/>
        <v>1820</v>
      </c>
      <c r="K51" s="30"/>
      <c r="L51" s="19" t="s">
        <v>0</v>
      </c>
      <c r="M51" s="36">
        <f>SUM(M47:M50)</f>
        <v>60762.559680000006</v>
      </c>
      <c r="N51" s="30"/>
      <c r="O51" s="30"/>
      <c r="P51" s="30"/>
      <c r="Q51" s="30"/>
      <c r="R51" s="30"/>
    </row>
    <row r="52" spans="2:18" x14ac:dyDescent="0.35">
      <c r="B52" s="19" t="s">
        <v>84</v>
      </c>
      <c r="C52" s="28">
        <f>MIN(C51,C50)</f>
        <v>141.96992</v>
      </c>
      <c r="D52" s="28">
        <v>220</v>
      </c>
      <c r="E52" s="28">
        <v>220</v>
      </c>
      <c r="F52" s="28">
        <v>220</v>
      </c>
      <c r="G52" s="28">
        <v>220</v>
      </c>
      <c r="H52" s="28">
        <f t="shared" ref="H52:I52" si="14">MIN(H51,H50)</f>
        <v>141.96992</v>
      </c>
      <c r="I52" s="28">
        <f t="shared" si="14"/>
        <v>59.223680000000058</v>
      </c>
      <c r="J52" s="37">
        <f t="shared" si="8"/>
        <v>1223.1635200000001</v>
      </c>
      <c r="K52" s="30"/>
      <c r="L52" s="30"/>
      <c r="M52" s="30"/>
      <c r="N52" s="30"/>
      <c r="O52" s="30"/>
      <c r="P52" s="30"/>
      <c r="Q52" s="30"/>
      <c r="R52" s="30"/>
    </row>
    <row r="53" spans="2:18" x14ac:dyDescent="0.35">
      <c r="B53" s="19" t="s">
        <v>85</v>
      </c>
      <c r="C53" s="28">
        <f>C50-C52</f>
        <v>0</v>
      </c>
      <c r="D53" s="28">
        <v>5</v>
      </c>
      <c r="E53" s="28">
        <v>40</v>
      </c>
      <c r="F53" s="28">
        <v>40</v>
      </c>
      <c r="G53" s="28">
        <v>40</v>
      </c>
      <c r="H53" s="28"/>
      <c r="I53" s="28"/>
      <c r="J53" s="37">
        <f t="shared" si="8"/>
        <v>125</v>
      </c>
      <c r="K53" s="30"/>
      <c r="L53" s="30"/>
      <c r="M53" s="30"/>
      <c r="N53" s="30"/>
      <c r="O53" s="30"/>
      <c r="P53" s="30"/>
      <c r="Q53" s="30"/>
      <c r="R53" s="30"/>
    </row>
    <row r="54" spans="2:18" x14ac:dyDescent="0.35">
      <c r="B54" s="19" t="s">
        <v>40</v>
      </c>
      <c r="C54" s="28">
        <f t="shared" ref="C54:I54" si="15">MAX(0,C48-C49-C51)</f>
        <v>0</v>
      </c>
      <c r="D54" s="28">
        <f t="shared" si="15"/>
        <v>0</v>
      </c>
      <c r="E54" s="28">
        <f t="shared" si="15"/>
        <v>130.20864000000006</v>
      </c>
      <c r="F54" s="28">
        <f t="shared" si="15"/>
        <v>130.20864000000006</v>
      </c>
      <c r="G54" s="28">
        <f t="shared" si="15"/>
        <v>130.20864000000006</v>
      </c>
      <c r="H54" s="28">
        <f t="shared" si="15"/>
        <v>0</v>
      </c>
      <c r="I54" s="28">
        <f t="shared" si="15"/>
        <v>0</v>
      </c>
      <c r="J54" s="37">
        <f>SUM(C54:I54)</f>
        <v>390.62592000000018</v>
      </c>
      <c r="K54" s="30"/>
      <c r="L54" s="30"/>
      <c r="M54" s="30"/>
      <c r="N54" s="30"/>
      <c r="O54" s="30"/>
      <c r="P54" s="30"/>
      <c r="Q54" s="30"/>
      <c r="R54" s="30"/>
    </row>
    <row r="55" spans="2:18" x14ac:dyDescent="0.35">
      <c r="B55" s="19" t="s">
        <v>102</v>
      </c>
      <c r="C55" s="28"/>
      <c r="D55" s="28"/>
      <c r="E55" s="28">
        <f>2*E54</f>
        <v>260.41728000000012</v>
      </c>
      <c r="F55" s="28">
        <f t="shared" ref="F55:G55" si="16">2*F54</f>
        <v>260.41728000000012</v>
      </c>
      <c r="G55" s="28">
        <f t="shared" si="16"/>
        <v>260.41728000000012</v>
      </c>
      <c r="H55" s="28"/>
      <c r="I55" s="28"/>
      <c r="J55" s="37">
        <f>SUM(C55:I55)</f>
        <v>781.25184000000036</v>
      </c>
      <c r="K55" s="30"/>
      <c r="L55" s="30"/>
      <c r="M55" s="30"/>
      <c r="N55" s="30"/>
      <c r="O55" s="30"/>
      <c r="P55" s="30"/>
      <c r="Q55" s="30"/>
      <c r="R55" s="30"/>
    </row>
    <row r="56" spans="2:18" x14ac:dyDescent="0.35">
      <c r="B56" s="19" t="s">
        <v>125</v>
      </c>
      <c r="C56" s="28"/>
      <c r="D56" s="28"/>
      <c r="E56" s="28">
        <v>240</v>
      </c>
      <c r="F56" s="28">
        <v>240</v>
      </c>
      <c r="G56" s="28">
        <v>240</v>
      </c>
      <c r="H56" s="28"/>
      <c r="I56" s="28"/>
      <c r="J56" s="37">
        <f>SUM(E56:G56)</f>
        <v>720</v>
      </c>
      <c r="K56" s="30"/>
      <c r="L56" s="30"/>
      <c r="M56" s="30"/>
      <c r="N56" s="30"/>
      <c r="O56" s="30"/>
      <c r="P56" s="30"/>
      <c r="Q56" s="30"/>
      <c r="R56" s="30"/>
    </row>
    <row r="57" spans="2:18" x14ac:dyDescent="0.35">
      <c r="B57" s="19" t="s">
        <v>126</v>
      </c>
      <c r="C57" s="28"/>
      <c r="D57" s="28"/>
      <c r="E57" s="28">
        <v>6</v>
      </c>
      <c r="F57" s="28">
        <v>6</v>
      </c>
      <c r="G57" s="28">
        <v>6</v>
      </c>
      <c r="H57" s="28"/>
      <c r="I57" s="28"/>
      <c r="J57" s="37"/>
      <c r="K57" s="30"/>
      <c r="L57" s="30"/>
      <c r="M57" s="30"/>
      <c r="N57" s="30"/>
      <c r="O57" s="30"/>
      <c r="P57" s="30"/>
      <c r="Q57" s="30"/>
      <c r="R57" s="30"/>
    </row>
    <row r="58" spans="2:18" x14ac:dyDescent="0.35">
      <c r="B58" s="19" t="s">
        <v>104</v>
      </c>
      <c r="C58" s="28"/>
      <c r="D58" s="28"/>
      <c r="E58" s="28">
        <v>6</v>
      </c>
      <c r="F58" s="28"/>
      <c r="G58" s="28"/>
      <c r="H58" s="28"/>
      <c r="I58" s="28"/>
      <c r="J58" s="37"/>
      <c r="K58" s="30"/>
      <c r="L58" s="30"/>
      <c r="M58" s="30"/>
      <c r="N58" s="30"/>
      <c r="O58" s="30"/>
      <c r="P58" s="30"/>
      <c r="Q58" s="30"/>
      <c r="R58" s="30"/>
    </row>
    <row r="59" spans="2:18" x14ac:dyDescent="0.35">
      <c r="B59" s="19" t="s">
        <v>105</v>
      </c>
      <c r="C59" s="28"/>
      <c r="D59" s="28"/>
      <c r="E59" s="28"/>
      <c r="F59" s="28"/>
      <c r="G59" s="28"/>
      <c r="H59" s="28">
        <v>6</v>
      </c>
      <c r="I59" s="28"/>
      <c r="J59" s="37"/>
      <c r="K59" s="30"/>
      <c r="L59" s="30"/>
      <c r="M59" s="30"/>
      <c r="N59" s="30"/>
      <c r="O59" s="30"/>
      <c r="P59" s="30"/>
      <c r="Q59" s="30"/>
      <c r="R59" s="30"/>
    </row>
    <row r="60" spans="2:18" x14ac:dyDescent="0.35">
      <c r="B60" s="19" t="s">
        <v>118</v>
      </c>
      <c r="C60" s="28"/>
      <c r="D60" s="28"/>
      <c r="E60" s="28">
        <v>20</v>
      </c>
      <c r="F60" s="28">
        <v>20</v>
      </c>
      <c r="G60" s="28">
        <v>20</v>
      </c>
      <c r="H60" s="28"/>
      <c r="I60" s="28"/>
      <c r="J60" s="37">
        <f>J55-J56</f>
        <v>61.251840000000357</v>
      </c>
      <c r="K60" s="30" t="s">
        <v>145</v>
      </c>
      <c r="L60" s="30"/>
      <c r="M60" s="30"/>
      <c r="N60" s="30"/>
      <c r="O60" s="30"/>
      <c r="P60" s="30"/>
      <c r="Q60" s="30"/>
      <c r="R60" s="30"/>
    </row>
    <row r="61" spans="2:18" x14ac:dyDescent="0.35">
      <c r="B61" s="30"/>
      <c r="C61" s="30"/>
      <c r="D61" s="30"/>
      <c r="E61" s="30"/>
      <c r="F61" s="30"/>
      <c r="G61" s="30"/>
      <c r="H61" s="31"/>
      <c r="I61" s="30"/>
      <c r="J61" s="30"/>
      <c r="K61" s="79"/>
      <c r="L61" s="30"/>
      <c r="M61" s="30"/>
      <c r="N61" s="30"/>
      <c r="O61" s="30"/>
      <c r="P61" s="30"/>
      <c r="Q61" s="30"/>
      <c r="R61" s="30"/>
    </row>
    <row r="62" spans="2:18" x14ac:dyDescent="0.35">
      <c r="D62" s="30"/>
      <c r="E62" s="30"/>
      <c r="F62" s="30"/>
      <c r="G62" s="30"/>
      <c r="H62" s="31"/>
      <c r="I62" s="30"/>
      <c r="J62" s="30"/>
      <c r="K62" s="79"/>
      <c r="L62" s="30"/>
      <c r="M62" s="30"/>
      <c r="N62" s="30"/>
      <c r="O62" s="30"/>
      <c r="P62" s="30"/>
      <c r="Q62" s="30"/>
      <c r="R62" s="30"/>
    </row>
    <row r="63" spans="2:18" x14ac:dyDescent="0.35">
      <c r="D63" s="77"/>
      <c r="E63" s="30"/>
      <c r="F63" s="30"/>
      <c r="G63" s="30"/>
      <c r="H63" s="30"/>
      <c r="I63" s="30"/>
      <c r="J63" s="30"/>
      <c r="K63" s="79"/>
      <c r="L63" s="30"/>
      <c r="M63" s="30"/>
      <c r="N63" s="30"/>
      <c r="O63" s="30"/>
      <c r="P63" s="30"/>
      <c r="Q63" s="30"/>
      <c r="R63" s="30"/>
    </row>
    <row r="65" spans="2:9" x14ac:dyDescent="0.35">
      <c r="B65" s="104" t="s">
        <v>57</v>
      </c>
      <c r="C65" s="105"/>
      <c r="D65" s="30"/>
      <c r="E65" s="30"/>
      <c r="F65" s="30"/>
      <c r="G65" s="30"/>
      <c r="H65" s="30"/>
    </row>
    <row r="66" spans="2:9" x14ac:dyDescent="0.35">
      <c r="B66" s="19" t="s">
        <v>18</v>
      </c>
      <c r="C66" s="87">
        <v>46446</v>
      </c>
      <c r="D66" s="30"/>
      <c r="E66" s="80"/>
      <c r="F66" s="30"/>
      <c r="G66" s="30"/>
      <c r="H66" s="30"/>
    </row>
    <row r="67" spans="2:9" x14ac:dyDescent="0.35">
      <c r="B67" s="19" t="s">
        <v>20</v>
      </c>
      <c r="C67" s="87">
        <v>85760</v>
      </c>
      <c r="D67" s="30"/>
      <c r="E67" s="30" t="s">
        <v>35</v>
      </c>
      <c r="F67" s="30"/>
      <c r="G67" s="30"/>
      <c r="H67" s="30"/>
    </row>
    <row r="68" spans="2:9" x14ac:dyDescent="0.35">
      <c r="B68" s="46" t="s">
        <v>0</v>
      </c>
      <c r="C68" s="90">
        <f>C66+C67</f>
        <v>132206</v>
      </c>
      <c r="D68" s="30"/>
      <c r="E68" s="30"/>
      <c r="F68" s="30"/>
      <c r="G68" s="30"/>
      <c r="H68" s="30"/>
    </row>
    <row r="70" spans="2:9" x14ac:dyDescent="0.35">
      <c r="B70" s="106" t="s">
        <v>58</v>
      </c>
      <c r="C70" s="107"/>
      <c r="D70" s="30"/>
      <c r="E70" s="81"/>
      <c r="F70" s="30"/>
      <c r="G70" s="30"/>
      <c r="H70" s="30"/>
      <c r="I70" s="30"/>
    </row>
    <row r="71" spans="2:9" x14ac:dyDescent="0.35">
      <c r="B71" s="19" t="s">
        <v>18</v>
      </c>
      <c r="C71" s="53">
        <f>+C29</f>
        <v>31606.40000000002</v>
      </c>
      <c r="D71" s="30"/>
      <c r="E71" s="30"/>
      <c r="F71" s="30"/>
      <c r="G71" s="30"/>
      <c r="H71" s="30"/>
      <c r="I71" s="30"/>
    </row>
    <row r="72" spans="2:9" x14ac:dyDescent="0.35">
      <c r="B72" s="19" t="s">
        <v>20</v>
      </c>
      <c r="C72" s="88">
        <f>+M51</f>
        <v>60762.559680000006</v>
      </c>
      <c r="D72" s="30"/>
      <c r="E72" s="30"/>
      <c r="F72" s="30"/>
      <c r="G72" s="30"/>
      <c r="H72" s="30"/>
      <c r="I72" s="30"/>
    </row>
    <row r="73" spans="2:9" x14ac:dyDescent="0.35">
      <c r="B73" s="46" t="s">
        <v>120</v>
      </c>
      <c r="C73" s="90">
        <f>C71+C72</f>
        <v>92368.959680000029</v>
      </c>
      <c r="D73" s="30"/>
      <c r="E73" s="30"/>
      <c r="F73" s="30"/>
      <c r="G73" s="30"/>
      <c r="H73" s="30"/>
      <c r="I73" s="30"/>
    </row>
    <row r="74" spans="2:9" x14ac:dyDescent="0.35">
      <c r="B74" s="45" t="s">
        <v>59</v>
      </c>
      <c r="C74" s="89">
        <f>C68-C73</f>
        <v>39837.040319999971</v>
      </c>
      <c r="D74" s="30"/>
      <c r="E74" s="81"/>
      <c r="F74" s="30"/>
      <c r="G74" s="30"/>
      <c r="H74" s="30"/>
      <c r="I74" s="30"/>
    </row>
  </sheetData>
  <mergeCells count="25">
    <mergeCell ref="B1:C1"/>
    <mergeCell ref="B5:D5"/>
    <mergeCell ref="B27:J27"/>
    <mergeCell ref="F40:I40"/>
    <mergeCell ref="F11:I11"/>
    <mergeCell ref="F6:I6"/>
    <mergeCell ref="F7:I7"/>
    <mergeCell ref="F8:I8"/>
    <mergeCell ref="F9:I9"/>
    <mergeCell ref="F10:I10"/>
    <mergeCell ref="F36:I36"/>
    <mergeCell ref="F37:I37"/>
    <mergeCell ref="F38:I38"/>
    <mergeCell ref="F39:I39"/>
    <mergeCell ref="C29:F29"/>
    <mergeCell ref="G29:J29"/>
    <mergeCell ref="B3:M3"/>
    <mergeCell ref="B33:N33"/>
    <mergeCell ref="F35:M35"/>
    <mergeCell ref="F5:J5"/>
    <mergeCell ref="K39:L39"/>
    <mergeCell ref="K40:L40"/>
    <mergeCell ref="L46:M46"/>
    <mergeCell ref="B65:C65"/>
    <mergeCell ref="B70:C7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TN-1 Total Labor Requirements</vt:lpstr>
      <vt:lpstr>TN-2a Fall Labor Analysis</vt:lpstr>
      <vt:lpstr>TN-2b Spring Labor Analysis</vt:lpstr>
      <vt:lpstr>TN-3 Hire Two Add'l FT Workers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Lafkas, John</dc:creator>
  <cp:lastModifiedBy>peeyush pandey</cp:lastModifiedBy>
  <cp:lastPrinted>2016-06-13T13:07:35Z</cp:lastPrinted>
  <dcterms:created xsi:type="dcterms:W3CDTF">2015-07-13T14:19:05Z</dcterms:created>
  <dcterms:modified xsi:type="dcterms:W3CDTF">2022-08-27T17:47:13Z</dcterms:modified>
</cp:coreProperties>
</file>