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veena\OneDrive\Desktop\"/>
    </mc:Choice>
  </mc:AlternateContent>
  <xr:revisionPtr revIDLastSave="0" documentId="8_{9F86182E-81FB-4C1A-891E-F5E9198B7D22}" xr6:coauthVersionLast="47" xr6:coauthVersionMax="47" xr10:uidLastSave="{00000000-0000-0000-0000-000000000000}"/>
  <bookViews>
    <workbookView xWindow="-110" yWindow="-110" windowWidth="19420" windowHeight="10300" firstSheet="6" activeTab="10" xr2:uid="{00000000-000D-0000-FFFF-FFFF00000000}"/>
  </bookViews>
  <sheets>
    <sheet name="Balance Sheet" sheetId="1" r:id="rId1"/>
    <sheet name=" P&amp;L" sheetId="13" r:id="rId2"/>
    <sheet name="Hori BS" sheetId="12" r:id="rId3"/>
    <sheet name=" Hori P&amp;L " sheetId="15" r:id="rId4"/>
    <sheet name="Common Size Balance Sheet " sheetId="14" r:id="rId5"/>
    <sheet name="Common size P &amp; L " sheetId="2" r:id="rId6"/>
    <sheet name="Profitability" sheetId="3" r:id="rId7"/>
    <sheet name="Sheet1" sheetId="16" r:id="rId8"/>
    <sheet name="Liquidity" sheetId="8" r:id="rId9"/>
    <sheet name="Solvency" sheetId="9" r:id="rId10"/>
    <sheet name="Capital market" sheetId="10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3" l="1"/>
  <c r="D10" i="14"/>
  <c r="D12" i="2"/>
  <c r="F9" i="2"/>
  <c r="F6" i="15"/>
  <c r="E6" i="15"/>
  <c r="F8" i="15"/>
  <c r="E8" i="15"/>
  <c r="H17" i="10"/>
  <c r="G18" i="10"/>
  <c r="H23" i="10"/>
  <c r="F23" i="10"/>
  <c r="G23" i="10"/>
  <c r="E23" i="10"/>
  <c r="H20" i="10"/>
  <c r="F20" i="10"/>
  <c r="G20" i="10"/>
  <c r="E20" i="10"/>
  <c r="F17" i="10"/>
  <c r="E18" i="10"/>
  <c r="H14" i="10"/>
  <c r="F14" i="10"/>
  <c r="G15" i="10"/>
  <c r="E15" i="10"/>
  <c r="G11" i="3"/>
  <c r="E11" i="3"/>
  <c r="C49" i="3"/>
  <c r="C48" i="3"/>
  <c r="B49" i="3"/>
  <c r="G26" i="13"/>
  <c r="B48" i="3"/>
  <c r="G15" i="2" l="1"/>
  <c r="F50" i="12"/>
  <c r="F52" i="12"/>
  <c r="F53" i="12"/>
  <c r="F54" i="12"/>
  <c r="F55" i="12"/>
  <c r="F56" i="12"/>
  <c r="F57" i="12"/>
  <c r="F58" i="12"/>
  <c r="E50" i="12"/>
  <c r="E52" i="12"/>
  <c r="E53" i="12"/>
  <c r="E54" i="12"/>
  <c r="E55" i="12"/>
  <c r="E56" i="12"/>
  <c r="E57" i="12"/>
  <c r="E58" i="12"/>
  <c r="F37" i="12"/>
  <c r="F38" i="12"/>
  <c r="F39" i="12"/>
  <c r="F40" i="12"/>
  <c r="F42" i="12"/>
  <c r="F43" i="12"/>
  <c r="F45" i="12"/>
  <c r="F46" i="12"/>
  <c r="F47" i="12"/>
  <c r="E37" i="12"/>
  <c r="E38" i="12"/>
  <c r="E39" i="12"/>
  <c r="E40" i="12"/>
  <c r="E42" i="12"/>
  <c r="E43" i="12"/>
  <c r="E44" i="12"/>
  <c r="E45" i="12"/>
  <c r="E46" i="12"/>
  <c r="E47" i="12"/>
  <c r="F33" i="12"/>
  <c r="F22" i="12"/>
  <c r="F24" i="12"/>
  <c r="F25" i="12"/>
  <c r="F26" i="12"/>
  <c r="F27" i="12"/>
  <c r="F28" i="12"/>
  <c r="F29" i="12"/>
  <c r="F30" i="12"/>
  <c r="F31" i="12"/>
  <c r="E22" i="12"/>
  <c r="E24" i="12"/>
  <c r="E25" i="12"/>
  <c r="E26" i="12"/>
  <c r="E27" i="12"/>
  <c r="E28" i="12"/>
  <c r="E29" i="12"/>
  <c r="E30" i="12"/>
  <c r="E31" i="12"/>
  <c r="E33" i="12"/>
  <c r="F15" i="12"/>
  <c r="F16" i="12"/>
  <c r="F18" i="12"/>
  <c r="E15" i="12"/>
  <c r="E16" i="12"/>
  <c r="E17" i="12"/>
  <c r="E18" i="12"/>
  <c r="F9" i="12"/>
  <c r="F10" i="12"/>
  <c r="E9" i="12"/>
  <c r="E10" i="12"/>
  <c r="C74" i="13"/>
  <c r="C76" i="13"/>
  <c r="H7" i="9"/>
  <c r="E7" i="9"/>
  <c r="D14" i="8"/>
  <c r="C83" i="13" l="1"/>
  <c r="C85" i="13" s="1"/>
  <c r="C11" i="1"/>
  <c r="C78" i="13"/>
  <c r="C79" i="13" s="1"/>
  <c r="C66" i="13" l="1"/>
  <c r="D54" i="13"/>
  <c r="C54" i="13"/>
  <c r="D52" i="13"/>
  <c r="C52" i="13"/>
  <c r="C8" i="13"/>
  <c r="C58" i="13" s="1"/>
  <c r="C62" i="13" s="1"/>
  <c r="I56" i="14"/>
  <c r="I52" i="14"/>
  <c r="D50" i="14"/>
  <c r="F58" i="14"/>
  <c r="F57" i="14"/>
  <c r="F56" i="14"/>
  <c r="F55" i="14"/>
  <c r="F54" i="14"/>
  <c r="F53" i="14"/>
  <c r="F52" i="14"/>
  <c r="F50" i="14"/>
  <c r="F47" i="14"/>
  <c r="F46" i="14"/>
  <c r="F45" i="14"/>
  <c r="F44" i="14"/>
  <c r="F43" i="14"/>
  <c r="F42" i="14"/>
  <c r="F40" i="14"/>
  <c r="F39" i="14"/>
  <c r="F38" i="14"/>
  <c r="F37" i="14"/>
  <c r="F30" i="14"/>
  <c r="F29" i="14"/>
  <c r="F28" i="14"/>
  <c r="F27" i="14"/>
  <c r="F26" i="14"/>
  <c r="F25" i="14"/>
  <c r="F24" i="14"/>
  <c r="F22" i="14"/>
  <c r="F18" i="14"/>
  <c r="F17" i="14"/>
  <c r="F16" i="14"/>
  <c r="F15" i="14"/>
  <c r="F10" i="14"/>
  <c r="F9" i="14"/>
  <c r="D58" i="14"/>
  <c r="D57" i="14"/>
  <c r="D56" i="14"/>
  <c r="D55" i="14"/>
  <c r="D54" i="14"/>
  <c r="D53" i="14"/>
  <c r="D52" i="14"/>
  <c r="D47" i="14"/>
  <c r="D46" i="14"/>
  <c r="D45" i="14"/>
  <c r="D44" i="14"/>
  <c r="D43" i="14"/>
  <c r="D42" i="14"/>
  <c r="D40" i="14"/>
  <c r="D39" i="14"/>
  <c r="D38" i="14"/>
  <c r="D37" i="14"/>
  <c r="D30" i="14"/>
  <c r="D29" i="14"/>
  <c r="D28" i="14"/>
  <c r="D27" i="14"/>
  <c r="D26" i="14"/>
  <c r="D25" i="14"/>
  <c r="D24" i="14"/>
  <c r="D22" i="14"/>
  <c r="D18" i="14"/>
  <c r="D17" i="14"/>
  <c r="D16" i="14"/>
  <c r="D9" i="14"/>
  <c r="F13" i="2"/>
  <c r="F12" i="2"/>
  <c r="D9" i="2"/>
  <c r="D17" i="2" s="1"/>
  <c r="D25" i="2" s="1"/>
  <c r="H15" i="2"/>
  <c r="F27" i="2"/>
  <c r="F26" i="2"/>
  <c r="F23" i="2"/>
  <c r="F19" i="2"/>
  <c r="F18" i="2"/>
  <c r="F17" i="2"/>
  <c r="F15" i="2"/>
  <c r="F14" i="2"/>
  <c r="F16" i="2"/>
  <c r="F8" i="2"/>
  <c r="D19" i="2"/>
  <c r="D27" i="2" s="1"/>
  <c r="D15" i="2"/>
  <c r="D23" i="2" s="1"/>
  <c r="D14" i="2"/>
  <c r="D13" i="2"/>
  <c r="D18" i="2"/>
  <c r="D26" i="2" s="1"/>
  <c r="E28" i="15"/>
  <c r="F28" i="15" s="1"/>
  <c r="E27" i="15"/>
  <c r="F27" i="15" s="1"/>
  <c r="E26" i="15"/>
  <c r="F26" i="15" s="1"/>
  <c r="E19" i="15"/>
  <c r="F19" i="15" s="1"/>
  <c r="E18" i="15"/>
  <c r="F18" i="15" s="1"/>
  <c r="E17" i="15"/>
  <c r="F17" i="15" s="1"/>
  <c r="E16" i="15"/>
  <c r="F16" i="15" s="1"/>
  <c r="E15" i="15"/>
  <c r="F15" i="15" s="1"/>
  <c r="E14" i="15"/>
  <c r="F14" i="15" s="1"/>
  <c r="E13" i="15"/>
  <c r="F13" i="15" s="1"/>
  <c r="E12" i="15"/>
  <c r="F12" i="15" s="1"/>
  <c r="E9" i="15"/>
  <c r="F9" i="15" s="1"/>
  <c r="D28" i="15"/>
  <c r="C28" i="15"/>
  <c r="D20" i="15"/>
  <c r="C20" i="15"/>
  <c r="E20" i="15" s="1"/>
  <c r="F20" i="15" s="1"/>
  <c r="C10" i="15"/>
  <c r="C22" i="15" s="1"/>
  <c r="C24" i="15" s="1"/>
  <c r="C30" i="15" s="1"/>
  <c r="D8" i="15"/>
  <c r="D10" i="15" s="1"/>
  <c r="C8" i="15"/>
  <c r="E10" i="15" l="1"/>
  <c r="F10" i="15" s="1"/>
  <c r="C56" i="13"/>
  <c r="C60" i="13" s="1"/>
  <c r="C64" i="13" s="1"/>
  <c r="D22" i="15"/>
  <c r="D24" i="15" s="1"/>
  <c r="D30" i="15" s="1"/>
  <c r="E30" i="15" s="1"/>
  <c r="F30" i="15" s="1"/>
  <c r="E24" i="15"/>
  <c r="F24" i="15" s="1"/>
  <c r="E22" i="15"/>
  <c r="F22" i="15" s="1"/>
  <c r="E59" i="14"/>
  <c r="F59" i="14" s="1"/>
  <c r="C59" i="14"/>
  <c r="D59" i="14" s="1"/>
  <c r="E48" i="14"/>
  <c r="C48" i="14"/>
  <c r="E31" i="14"/>
  <c r="C31" i="14"/>
  <c r="D31" i="14" s="1"/>
  <c r="E19" i="14"/>
  <c r="F19" i="14" s="1"/>
  <c r="C19" i="14"/>
  <c r="E11" i="14"/>
  <c r="F11" i="14" s="1"/>
  <c r="C11" i="14"/>
  <c r="D11" i="14" s="1"/>
  <c r="D28" i="13"/>
  <c r="C28" i="13"/>
  <c r="D20" i="13"/>
  <c r="C20" i="13"/>
  <c r="D10" i="13"/>
  <c r="D22" i="13" s="1"/>
  <c r="D24" i="13" s="1"/>
  <c r="C10" i="13"/>
  <c r="C22" i="13" s="1"/>
  <c r="C24" i="13" s="1"/>
  <c r="D8" i="13"/>
  <c r="D59" i="12"/>
  <c r="C59" i="12"/>
  <c r="E59" i="12" s="1"/>
  <c r="F59" i="12" s="1"/>
  <c r="D48" i="12"/>
  <c r="C48" i="12"/>
  <c r="E48" i="12" s="1"/>
  <c r="F48" i="12" s="1"/>
  <c r="C32" i="12"/>
  <c r="D31" i="12"/>
  <c r="C31" i="12"/>
  <c r="D19" i="12"/>
  <c r="C19" i="12"/>
  <c r="E19" i="12" s="1"/>
  <c r="F19" i="12" s="1"/>
  <c r="D11" i="12"/>
  <c r="C11" i="12"/>
  <c r="E31" i="1"/>
  <c r="E32" i="1" s="1"/>
  <c r="D31" i="1"/>
  <c r="D32" i="1" s="1"/>
  <c r="C31" i="1"/>
  <c r="D8" i="8" s="1"/>
  <c r="E19" i="1"/>
  <c r="D19" i="1"/>
  <c r="C19" i="1"/>
  <c r="E48" i="1"/>
  <c r="D48" i="1"/>
  <c r="C48" i="1"/>
  <c r="E8" i="2"/>
  <c r="C8" i="2"/>
  <c r="H11" i="9" l="1"/>
  <c r="D13" i="8"/>
  <c r="D16" i="2"/>
  <c r="C32" i="14"/>
  <c r="D19" i="14"/>
  <c r="C33" i="12"/>
  <c r="E11" i="12"/>
  <c r="F11" i="12" s="1"/>
  <c r="D60" i="12"/>
  <c r="C68" i="13"/>
  <c r="C30" i="13"/>
  <c r="C60" i="14"/>
  <c r="D60" i="14" s="1"/>
  <c r="D48" i="14"/>
  <c r="D30" i="13"/>
  <c r="D68" i="13"/>
  <c r="C32" i="1"/>
  <c r="C10" i="2"/>
  <c r="C72" i="13"/>
  <c r="D32" i="12"/>
  <c r="D33" i="12" s="1"/>
  <c r="D62" i="12" s="1"/>
  <c r="C60" i="12"/>
  <c r="E60" i="12" s="1"/>
  <c r="F60" i="12" s="1"/>
  <c r="G8" i="3"/>
  <c r="G13" i="8"/>
  <c r="D58" i="13"/>
  <c r="D62" i="13" s="1"/>
  <c r="D56" i="13"/>
  <c r="D60" i="13" s="1"/>
  <c r="D64" i="13" s="1"/>
  <c r="E60" i="14"/>
  <c r="F60" i="14" s="1"/>
  <c r="F48" i="14"/>
  <c r="E32" i="14"/>
  <c r="F31" i="14"/>
  <c r="C33" i="14" l="1"/>
  <c r="D32" i="14"/>
  <c r="E4" i="3"/>
  <c r="C32" i="13"/>
  <c r="E11" i="9"/>
  <c r="C33" i="1"/>
  <c r="C62" i="12"/>
  <c r="E32" i="12"/>
  <c r="F32" i="12" s="1"/>
  <c r="G4" i="3"/>
  <c r="D32" i="13"/>
  <c r="E33" i="14"/>
  <c r="F32" i="14"/>
  <c r="D33" i="14" l="1"/>
  <c r="D15" i="14"/>
  <c r="C62" i="14"/>
  <c r="E62" i="14"/>
  <c r="F33" i="14"/>
  <c r="G20" i="8"/>
  <c r="D20" i="8"/>
  <c r="G14" i="8"/>
  <c r="G19" i="8"/>
  <c r="D19" i="8"/>
  <c r="H18" i="9"/>
  <c r="E18" i="9"/>
  <c r="E13" i="8" l="1"/>
  <c r="D17" i="8" s="1"/>
  <c r="E16" i="8" s="1"/>
  <c r="H19" i="8"/>
  <c r="G23" i="8" s="1"/>
  <c r="H22" i="8" s="1"/>
  <c r="E19" i="8"/>
  <c r="D23" i="8" s="1"/>
  <c r="E22" i="8" s="1"/>
  <c r="H13" i="8"/>
  <c r="G17" i="8" s="1"/>
  <c r="H16" i="8" s="1"/>
  <c r="E28" i="8" l="1"/>
  <c r="H28" i="8"/>
  <c r="G34" i="3" l="1"/>
  <c r="G36" i="3" s="1"/>
  <c r="E34" i="3"/>
  <c r="E36" i="3" s="1"/>
  <c r="E12" i="3" l="1"/>
  <c r="F11" i="3" s="1"/>
  <c r="E19" i="3"/>
  <c r="G21" i="3"/>
  <c r="G12" i="3"/>
  <c r="H11" i="3" s="1"/>
  <c r="G19" i="3"/>
  <c r="E21" i="3"/>
  <c r="E28" i="2" l="1"/>
  <c r="F28" i="2" s="1"/>
  <c r="E20" i="2"/>
  <c r="F20" i="2" s="1"/>
  <c r="C20" i="2"/>
  <c r="E59" i="1"/>
  <c r="E60" i="1" s="1"/>
  <c r="D59" i="1"/>
  <c r="C59" i="1"/>
  <c r="E11" i="1"/>
  <c r="E33" i="1" s="1"/>
  <c r="D7" i="8" l="1"/>
  <c r="D10" i="8" s="1"/>
  <c r="C46" i="13"/>
  <c r="C48" i="13"/>
  <c r="C50" i="13" s="1"/>
  <c r="C60" i="1"/>
  <c r="G7" i="8"/>
  <c r="D46" i="13"/>
  <c r="D48" i="13"/>
  <c r="D50" i="13" s="1"/>
  <c r="D60" i="1"/>
  <c r="D34" i="13" s="1"/>
  <c r="C22" i="2"/>
  <c r="D20" i="2"/>
  <c r="E62" i="1"/>
  <c r="G8" i="8"/>
  <c r="G11" i="8" s="1"/>
  <c r="E12" i="9"/>
  <c r="G10" i="8"/>
  <c r="D11" i="8"/>
  <c r="E10" i="8" s="1"/>
  <c r="E7" i="8"/>
  <c r="C62" i="1"/>
  <c r="C28" i="2"/>
  <c r="D28" i="2" s="1"/>
  <c r="E10" i="2"/>
  <c r="E22" i="2" s="1"/>
  <c r="F22" i="2" s="1"/>
  <c r="D11" i="1"/>
  <c r="G5" i="3" l="1"/>
  <c r="D66" i="13"/>
  <c r="E5" i="3"/>
  <c r="D40" i="13"/>
  <c r="D42" i="13" s="1"/>
  <c r="C40" i="13"/>
  <c r="D33" i="1"/>
  <c r="D72" i="13"/>
  <c r="E16" i="3"/>
  <c r="E22" i="3" s="1"/>
  <c r="F21" i="3" s="1"/>
  <c r="C34" i="13"/>
  <c r="D38" i="13"/>
  <c r="D36" i="13"/>
  <c r="E15" i="9"/>
  <c r="E8" i="9"/>
  <c r="H14" i="9"/>
  <c r="E17" i="9"/>
  <c r="D22" i="2"/>
  <c r="G16" i="3"/>
  <c r="G37" i="3" s="1"/>
  <c r="E14" i="9"/>
  <c r="F14" i="9" s="1"/>
  <c r="H7" i="8"/>
  <c r="F11" i="9"/>
  <c r="E41" i="3"/>
  <c r="E31" i="3"/>
  <c r="D62" i="1"/>
  <c r="H12" i="9"/>
  <c r="H10" i="8"/>
  <c r="C38" i="13" l="1"/>
  <c r="C36" i="13"/>
  <c r="C44" i="13"/>
  <c r="C42" i="13"/>
  <c r="H15" i="9"/>
  <c r="I14" i="9" s="1"/>
  <c r="H8" i="9"/>
  <c r="D44" i="13"/>
  <c r="G22" i="3"/>
  <c r="H21" i="3" s="1"/>
  <c r="E37" i="3"/>
  <c r="E40" i="3" s="1"/>
  <c r="F40" i="3" s="1"/>
  <c r="G40" i="3"/>
  <c r="H36" i="3"/>
  <c r="C24" i="2"/>
  <c r="F17" i="9"/>
  <c r="G41" i="3"/>
  <c r="G31" i="3"/>
  <c r="H17" i="9"/>
  <c r="I17" i="9" s="1"/>
  <c r="E24" i="2"/>
  <c r="I11" i="9"/>
  <c r="E30" i="2" l="1"/>
  <c r="F30" i="2" s="1"/>
  <c r="F24" i="2"/>
  <c r="C30" i="2"/>
  <c r="D30" i="2" s="1"/>
  <c r="D24" i="2"/>
  <c r="F36" i="3"/>
  <c r="H40" i="3"/>
  <c r="F4" i="3" l="1"/>
  <c r="E7" i="3"/>
  <c r="E30" i="3"/>
  <c r="F30" i="3" s="1"/>
  <c r="E18" i="3"/>
  <c r="F18" i="3" s="1"/>
  <c r="E15" i="3"/>
  <c r="F15" i="3" s="1"/>
  <c r="G30" i="3"/>
  <c r="H30" i="3" s="1"/>
  <c r="G7" i="3"/>
  <c r="H4" i="3"/>
  <c r="G15" i="3"/>
  <c r="H15" i="3" s="1"/>
  <c r="G18" i="3"/>
  <c r="H18" i="3" s="1"/>
  <c r="G33" i="3" l="1"/>
  <c r="H33" i="3" s="1"/>
  <c r="H7" i="3"/>
  <c r="E33" i="3"/>
  <c r="F33" i="3" s="1"/>
  <c r="F7" i="3"/>
</calcChain>
</file>

<file path=xl/sharedStrings.xml><?xml version="1.0" encoding="utf-8"?>
<sst xmlns="http://schemas.openxmlformats.org/spreadsheetml/2006/main" count="469" uniqueCount="188">
  <si>
    <t>As at</t>
  </si>
  <si>
    <t>Rs. Crore</t>
  </si>
  <si>
    <t>Total</t>
  </si>
  <si>
    <t>Deferred tax assets (net)</t>
  </si>
  <si>
    <t>Other non-current assets</t>
  </si>
  <si>
    <t>Year Ended</t>
  </si>
  <si>
    <t>Total Expenses</t>
  </si>
  <si>
    <t>Profit before exceptional items and tax</t>
  </si>
  <si>
    <t>Exceptional items</t>
  </si>
  <si>
    <t>(a)  Current Tax Expense</t>
  </si>
  <si>
    <t>(b)Deferred Tax</t>
  </si>
  <si>
    <t>Total tax</t>
  </si>
  <si>
    <t>STATEMENT OF PROFIT &amp; LOSS</t>
  </si>
  <si>
    <t>Equity</t>
  </si>
  <si>
    <t>Other Equity</t>
  </si>
  <si>
    <t>EQUITY &amp; LIABILITIES:</t>
  </si>
  <si>
    <t>Liabilities</t>
  </si>
  <si>
    <t>Non-Current Liabilities:</t>
  </si>
  <si>
    <r>
      <t xml:space="preserve">    </t>
    </r>
    <r>
      <rPr>
        <sz val="16"/>
        <rFont val="Calibri"/>
        <family val="2"/>
        <scheme val="minor"/>
      </rPr>
      <t>Other Financial Laibilities</t>
    </r>
  </si>
  <si>
    <t>Provisions</t>
  </si>
  <si>
    <t>Financial Liabilities</t>
  </si>
  <si>
    <t xml:space="preserve">  Trade Payables</t>
  </si>
  <si>
    <t xml:space="preserve">    Dues to micro and small enterprises</t>
  </si>
  <si>
    <t xml:space="preserve">    Dues to others</t>
  </si>
  <si>
    <t>Other Current Liabilities</t>
  </si>
  <si>
    <t>Current Liabilities:</t>
  </si>
  <si>
    <t>TOTAL EQUITY AND LIABILITIES</t>
  </si>
  <si>
    <t>March 31st,2017</t>
  </si>
  <si>
    <t>Non-Current Assets :</t>
  </si>
  <si>
    <t>ASSETS</t>
  </si>
  <si>
    <t>Property, Plant and Equipment</t>
  </si>
  <si>
    <t>Capital Work-in-Progress</t>
  </si>
  <si>
    <t>Financial Assets</t>
  </si>
  <si>
    <t xml:space="preserve">   Investments</t>
  </si>
  <si>
    <t xml:space="preserve">   Loans</t>
  </si>
  <si>
    <t xml:space="preserve">   Other financial assets</t>
  </si>
  <si>
    <t>Current Assets:</t>
  </si>
  <si>
    <t>Inventories</t>
  </si>
  <si>
    <t>Other Current Assets</t>
  </si>
  <si>
    <t>Income</t>
  </si>
  <si>
    <t>Other Income</t>
  </si>
  <si>
    <t>Revenue from Operations</t>
  </si>
  <si>
    <t>Total Income</t>
  </si>
  <si>
    <t>Expenses :</t>
  </si>
  <si>
    <t>Cost of Materials Consumed</t>
  </si>
  <si>
    <t>Purchases of stock in trade</t>
  </si>
  <si>
    <t xml:space="preserve">Changes in Inventories of Finished Goods,Intermediaries and Work in Process </t>
  </si>
  <si>
    <t>Excise Duty</t>
  </si>
  <si>
    <t>Employee Benefit Expenses</t>
  </si>
  <si>
    <t>Depreciation &amp; Amortization expenses</t>
  </si>
  <si>
    <t>Other Expenses</t>
  </si>
  <si>
    <t>Finance Costs</t>
  </si>
  <si>
    <t xml:space="preserve">Profit before Tax </t>
  </si>
  <si>
    <t>Tax Expenses</t>
  </si>
  <si>
    <t xml:space="preserve">Profit for the Year </t>
  </si>
  <si>
    <t>Amounts in Rs. Crores</t>
  </si>
  <si>
    <t>Ratio</t>
  </si>
  <si>
    <t>Formula</t>
  </si>
  <si>
    <t>A</t>
  </si>
  <si>
    <t>Return on Equity</t>
  </si>
  <si>
    <t>Profit After Tax</t>
  </si>
  <si>
    <t>B</t>
  </si>
  <si>
    <t>Net Profit Margin (%) or Return On Sales</t>
  </si>
  <si>
    <t>Sales</t>
  </si>
  <si>
    <t>C</t>
  </si>
  <si>
    <t>Operating Profit Margin (%)</t>
  </si>
  <si>
    <t>NOPAT</t>
  </si>
  <si>
    <t>D</t>
  </si>
  <si>
    <t>Return on Assets</t>
  </si>
  <si>
    <t xml:space="preserve"> Average Total Assets</t>
  </si>
  <si>
    <t>Profit margin</t>
  </si>
  <si>
    <t>Asset Turnover Ratio</t>
  </si>
  <si>
    <t>Average Total Assets</t>
  </si>
  <si>
    <t>* Profit excluding exceptional items</t>
  </si>
  <si>
    <t>Extended Dupont Analysis</t>
  </si>
  <si>
    <t>Average Total Equity</t>
  </si>
  <si>
    <t xml:space="preserve">             Leverage</t>
  </si>
  <si>
    <t>Liquidity Ratios</t>
  </si>
  <si>
    <t>Current Ratio</t>
  </si>
  <si>
    <t>Total Current Assets</t>
  </si>
  <si>
    <t>: 1</t>
  </si>
  <si>
    <t>Total Current Liabilities</t>
  </si>
  <si>
    <t>Quick Test Ratio</t>
  </si>
  <si>
    <t>Current Assets- Inventory</t>
  </si>
  <si>
    <t>Current Liabilites</t>
  </si>
  <si>
    <t>Inventory Turnover Ratio</t>
  </si>
  <si>
    <t>Times</t>
  </si>
  <si>
    <t>Average Inventory</t>
  </si>
  <si>
    <t>Inventory Holding Period</t>
  </si>
  <si>
    <t>No of days in a year</t>
  </si>
  <si>
    <t>Days</t>
  </si>
  <si>
    <t>E</t>
  </si>
  <si>
    <t>Receivables Turnover Ratio</t>
  </si>
  <si>
    <t>Sales Turnover</t>
  </si>
  <si>
    <t>Average Receivable</t>
  </si>
  <si>
    <t>F</t>
  </si>
  <si>
    <t>Receivables Collection Period</t>
  </si>
  <si>
    <t xml:space="preserve">Operating cycle </t>
  </si>
  <si>
    <t>Solvency Ratios</t>
  </si>
  <si>
    <t>Debt to equity ratio</t>
  </si>
  <si>
    <t>Sharholders' Funds</t>
  </si>
  <si>
    <t>Liabilities to Equity Ratio</t>
  </si>
  <si>
    <t>Total Liabilities.</t>
  </si>
  <si>
    <t>Leverage</t>
  </si>
  <si>
    <t>Total Assets</t>
  </si>
  <si>
    <t>Total Equity</t>
  </si>
  <si>
    <t>Interest Coverage Ratio</t>
  </si>
  <si>
    <t>PBIT</t>
  </si>
  <si>
    <t>times</t>
  </si>
  <si>
    <t>Interest Expense</t>
  </si>
  <si>
    <t>Capital Market Ratios</t>
  </si>
  <si>
    <t>Earnings Per Share</t>
  </si>
  <si>
    <t>(a)  Basic</t>
  </si>
  <si>
    <t>(b)  Diluted</t>
  </si>
  <si>
    <t>Price Earnings Ratio</t>
  </si>
  <si>
    <t>Market Price</t>
  </si>
  <si>
    <t>Dividend Yield Ratio</t>
  </si>
  <si>
    <t>Dividend per Share</t>
  </si>
  <si>
    <t>Price to Book Ratio</t>
  </si>
  <si>
    <t>Book value of one share</t>
  </si>
  <si>
    <t>Net worth</t>
  </si>
  <si>
    <t>Number of shares</t>
  </si>
  <si>
    <t>Return in last one year</t>
  </si>
  <si>
    <t>Return %</t>
  </si>
  <si>
    <t>Total Borrowings (Short term &amp; Long term)</t>
  </si>
  <si>
    <t>Average Equity</t>
  </si>
  <si>
    <t xml:space="preserve">Also refer Sheet 2 for NOPAT </t>
  </si>
  <si>
    <t>March 31st,2018</t>
  </si>
  <si>
    <t>Mar 31st , 2018</t>
  </si>
  <si>
    <t>Mar 31st , 2019</t>
  </si>
  <si>
    <t>Sale of goods/ income from operations</t>
  </si>
  <si>
    <t>Other operating revenues</t>
  </si>
  <si>
    <t>Investment Property</t>
  </si>
  <si>
    <t>Intangible Assets</t>
  </si>
  <si>
    <t>Income tax assets (net)</t>
  </si>
  <si>
    <t>Total current asssets</t>
  </si>
  <si>
    <t>TOTAL  ASSETS</t>
  </si>
  <si>
    <t>Equity Share Capital</t>
  </si>
  <si>
    <t xml:space="preserve">TOTAL EQUITY </t>
  </si>
  <si>
    <r>
      <t xml:space="preserve">    </t>
    </r>
    <r>
      <rPr>
        <sz val="16"/>
        <rFont val="Calibri"/>
        <family val="2"/>
        <scheme val="minor"/>
      </rPr>
      <t>Other Financial Liabilities</t>
    </r>
  </si>
  <si>
    <t xml:space="preserve">    Borrowings</t>
  </si>
  <si>
    <t>Deferred tax liabilities</t>
  </si>
  <si>
    <t>Government Grant</t>
  </si>
  <si>
    <t>Total non-current liabilities</t>
  </si>
  <si>
    <t xml:space="preserve">   Borrowings</t>
  </si>
  <si>
    <t>Current tax Liabilities (net)</t>
  </si>
  <si>
    <t>Total liabilities</t>
  </si>
  <si>
    <t xml:space="preserve">    Investments</t>
  </si>
  <si>
    <t xml:space="preserve">   Trade Receivables</t>
  </si>
  <si>
    <t xml:space="preserve">   Cash &amp; Cash Equivalents</t>
  </si>
  <si>
    <t xml:space="preserve">   Bank bal other than C&amp;CE</t>
  </si>
  <si>
    <t xml:space="preserve">   Loans receivable</t>
  </si>
  <si>
    <t>total</t>
  </si>
  <si>
    <t>March 31st,2019</t>
  </si>
  <si>
    <t>BALANCE SHEET OF Britannia</t>
  </si>
  <si>
    <t>5005.66/3426</t>
  </si>
  <si>
    <t xml:space="preserve">Profit margin </t>
  </si>
  <si>
    <t>Average assets</t>
  </si>
  <si>
    <t>ROA</t>
  </si>
  <si>
    <t>Asset turnover</t>
  </si>
  <si>
    <t>Average equity</t>
  </si>
  <si>
    <t>ROE</t>
  </si>
  <si>
    <t>Current ratio</t>
  </si>
  <si>
    <t>CA - inv</t>
  </si>
  <si>
    <t>Quick ratio</t>
  </si>
  <si>
    <t>Average inventory</t>
  </si>
  <si>
    <t>Average receivable</t>
  </si>
  <si>
    <t>inventory turnover ratio</t>
  </si>
  <si>
    <t>receivable turnover</t>
  </si>
  <si>
    <t>inventory holding period</t>
  </si>
  <si>
    <t>receivable collection period</t>
  </si>
  <si>
    <t>operating cycle</t>
  </si>
  <si>
    <t>Debt Equity Ratio</t>
  </si>
  <si>
    <t>days</t>
  </si>
  <si>
    <t>Debt Service coverage Ratio</t>
  </si>
  <si>
    <t>All liabilities to equity ratio</t>
  </si>
  <si>
    <t>Average price</t>
  </si>
  <si>
    <t>Dividend</t>
  </si>
  <si>
    <t>total equity</t>
  </si>
  <si>
    <t>number of shares in crores</t>
  </si>
  <si>
    <t>book value</t>
  </si>
  <si>
    <t>Material cost (net)</t>
  </si>
  <si>
    <t>2018-2019</t>
  </si>
  <si>
    <t>2018-2017</t>
  </si>
  <si>
    <t>2017-2018</t>
  </si>
  <si>
    <t>Also see sheets named Profitability, Liquidity etc for ratio calculations</t>
  </si>
  <si>
    <t>Profitability Ratio</t>
  </si>
  <si>
    <t>Industry Average for Brittania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</si>
</sst>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 * #,##0.00_ ;_ * \-#,##0.00_ ;_ * &quot;-&quot;??_ ;_ @_ "/>
    <numFmt numFmtId="164" formatCode="_(* #,##0.00_);_(* \(#,##0.00\);_(* &quot;-&quot;??_);_(@_)"/>
    <numFmt numFmtId="165" formatCode="_(* #,##0.0000_);_(* \(#,##0.0000\);_(* &quot;-&quot;??_);_(@_)"/>
    <numFmt numFmtId="166" formatCode="_(* #,##0.000_);_(* \(#,##0.000\);_(* &quot;-&quot;??_);_(@_)"/>
    <numFmt numFmtId="167" formatCode="0.000"/>
    <numFmt numFmtId="168" formatCode="0.0%"/>
    <numFmt numFmtId="169" formatCode="0.000%"/>
    <numFmt numFmtId="170" formatCode="0.0000%"/>
    <numFmt numFmtId="174" formatCode="0.00000%"/>
  </numFmts>
  <fonts count="36" x14ac:knownFonts="1">
    <font>
      <sz val="11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sz val="14"/>
      <color indexed="8"/>
      <name val="Calibri"/>
      <family val="2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indexed="8"/>
      <name val="Calibri"/>
      <family val="2"/>
    </font>
    <font>
      <sz val="16"/>
      <color indexed="8"/>
      <name val="Calibri"/>
      <family val="2"/>
    </font>
    <font>
      <sz val="16"/>
      <name val="Calibri"/>
      <family val="2"/>
    </font>
    <font>
      <sz val="14"/>
      <color indexed="8"/>
      <name val="Calibri"/>
      <family val="2"/>
      <scheme val="minor"/>
    </font>
    <font>
      <b/>
      <sz val="16"/>
      <name val="Calibri"/>
      <family val="2"/>
    </font>
    <font>
      <b/>
      <sz val="14"/>
      <color indexed="8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indexed="8"/>
      <name val="Calibri"/>
      <family val="2"/>
    </font>
    <font>
      <b/>
      <sz val="14"/>
      <name val="Calibri"/>
      <family val="2"/>
    </font>
    <font>
      <b/>
      <sz val="16"/>
      <color indexed="8"/>
      <name val="Calibri"/>
      <family val="2"/>
    </font>
    <font>
      <sz val="11"/>
      <color theme="1"/>
      <name val="Calibri"/>
      <family val="2"/>
      <scheme val="minor"/>
    </font>
    <font>
      <i/>
      <sz val="12"/>
      <color indexed="8"/>
      <name val="Calibri"/>
      <family val="2"/>
    </font>
    <font>
      <sz val="11"/>
      <color indexed="8"/>
      <name val="Calibri"/>
      <family val="2"/>
    </font>
    <font>
      <b/>
      <sz val="12"/>
      <color indexed="8"/>
      <name val="Calibri"/>
      <family val="2"/>
    </font>
    <font>
      <sz val="10"/>
      <color indexed="8"/>
      <name val="Times New Roman"/>
      <family val="1"/>
    </font>
    <font>
      <sz val="12"/>
      <color indexed="8"/>
      <name val="Calibri"/>
      <family val="2"/>
      <scheme val="minor"/>
    </font>
    <font>
      <b/>
      <sz val="10"/>
      <color indexed="8"/>
      <name val="Times New Roman"/>
      <family val="1"/>
    </font>
    <font>
      <b/>
      <i/>
      <u/>
      <sz val="12"/>
      <color indexed="8"/>
      <name val="Calibri"/>
      <family val="2"/>
    </font>
    <font>
      <b/>
      <u/>
      <sz val="11"/>
      <color theme="1"/>
      <name val="Calibri"/>
      <family val="2"/>
      <scheme val="minor"/>
    </font>
    <font>
      <b/>
      <u val="singleAccounting"/>
      <sz val="11"/>
      <color indexed="8"/>
      <name val="Calibri"/>
      <family val="2"/>
    </font>
    <font>
      <b/>
      <u/>
      <sz val="11"/>
      <color indexed="8"/>
      <name val="Calibri"/>
      <family val="2"/>
    </font>
    <font>
      <i/>
      <sz val="11"/>
      <color indexed="8"/>
      <name val="Calibri"/>
      <family val="2"/>
    </font>
    <font>
      <sz val="12"/>
      <color indexed="8"/>
      <name val="Times New Roman"/>
      <family val="1"/>
    </font>
    <font>
      <sz val="10"/>
      <color indexed="8"/>
      <name val="Calibri"/>
      <family val="2"/>
    </font>
    <font>
      <b/>
      <sz val="10"/>
      <color indexed="8"/>
      <name val="Calibri"/>
      <family val="2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43" fontId="17" fillId="0" borderId="0" applyFont="0" applyFill="0" applyBorder="0" applyAlignment="0" applyProtection="0"/>
    <xf numFmtId="9" fontId="17" fillId="0" borderId="0" applyFont="0" applyFill="0" applyBorder="0" applyAlignment="0" applyProtection="0"/>
  </cellStyleXfs>
  <cellXfs count="191">
    <xf numFmtId="0" fontId="0" fillId="0" borderId="0" xfId="0"/>
    <xf numFmtId="0" fontId="1" fillId="0" borderId="0" xfId="0" applyFont="1" applyProtection="1">
      <protection locked="0"/>
    </xf>
    <xf numFmtId="0" fontId="2" fillId="0" borderId="0" xfId="0" applyFont="1"/>
    <xf numFmtId="4" fontId="2" fillId="0" borderId="0" xfId="0" applyNumberFormat="1" applyFont="1"/>
    <xf numFmtId="0" fontId="3" fillId="0" borderId="0" xfId="0" applyFont="1" applyProtection="1">
      <protection locked="0"/>
    </xf>
    <xf numFmtId="4" fontId="3" fillId="0" borderId="0" xfId="0" applyNumberFormat="1" applyFont="1" applyProtection="1">
      <protection locked="0"/>
    </xf>
    <xf numFmtId="0" fontId="1" fillId="0" borderId="0" xfId="0" applyFont="1"/>
    <xf numFmtId="0" fontId="3" fillId="0" borderId="0" xfId="0" applyFont="1"/>
    <xf numFmtId="2" fontId="6" fillId="0" borderId="0" xfId="0" applyNumberFormat="1" applyFont="1"/>
    <xf numFmtId="0" fontId="7" fillId="0" borderId="0" xfId="0" applyFont="1"/>
    <xf numFmtId="4" fontId="5" fillId="0" borderId="0" xfId="0" applyNumberFormat="1" applyFont="1" applyProtection="1">
      <protection locked="0"/>
    </xf>
    <xf numFmtId="0" fontId="8" fillId="0" borderId="0" xfId="0" applyFont="1"/>
    <xf numFmtId="4" fontId="9" fillId="0" borderId="0" xfId="0" applyNumberFormat="1" applyFont="1" applyProtection="1">
      <protection locked="0"/>
    </xf>
    <xf numFmtId="0" fontId="11" fillId="0" borderId="0" xfId="0" applyFont="1" applyProtection="1">
      <protection locked="0"/>
    </xf>
    <xf numFmtId="0" fontId="6" fillId="0" borderId="0" xfId="0" applyFont="1"/>
    <xf numFmtId="0" fontId="5" fillId="0" borderId="0" xfId="0" applyFont="1" applyProtection="1">
      <protection locked="0"/>
    </xf>
    <xf numFmtId="0" fontId="9" fillId="0" borderId="0" xfId="0" applyFont="1" applyProtection="1">
      <protection locked="0"/>
    </xf>
    <xf numFmtId="0" fontId="9" fillId="0" borderId="0" xfId="0" applyFont="1" applyAlignment="1" applyProtection="1">
      <alignment wrapText="1"/>
      <protection locked="0"/>
    </xf>
    <xf numFmtId="4" fontId="10" fillId="0" borderId="0" xfId="0" applyNumberFormat="1" applyFont="1"/>
    <xf numFmtId="0" fontId="14" fillId="0" borderId="0" xfId="0" applyFont="1"/>
    <xf numFmtId="4" fontId="6" fillId="0" borderId="0" xfId="0" applyNumberFormat="1" applyFont="1"/>
    <xf numFmtId="0" fontId="15" fillId="0" borderId="0" xfId="0" applyFont="1" applyProtection="1">
      <protection locked="0"/>
    </xf>
    <xf numFmtId="1" fontId="6" fillId="0" borderId="0" xfId="0" applyNumberFormat="1" applyFont="1"/>
    <xf numFmtId="0" fontId="16" fillId="0" borderId="0" xfId="0" applyFont="1"/>
    <xf numFmtId="3" fontId="10" fillId="0" borderId="0" xfId="0" applyNumberFormat="1" applyFont="1"/>
    <xf numFmtId="0" fontId="18" fillId="0" borderId="0" xfId="0" applyFont="1"/>
    <xf numFmtId="0" fontId="20" fillId="0" borderId="0" xfId="0" applyFont="1"/>
    <xf numFmtId="0" fontId="20" fillId="2" borderId="4" xfId="0" applyFont="1" applyFill="1" applyBorder="1"/>
    <xf numFmtId="0" fontId="20" fillId="0" borderId="5" xfId="0" applyFont="1" applyBorder="1"/>
    <xf numFmtId="43" fontId="20" fillId="0" borderId="6" xfId="1" applyFont="1" applyFill="1" applyBorder="1" applyAlignment="1">
      <alignment horizontal="center"/>
    </xf>
    <xf numFmtId="165" fontId="20" fillId="0" borderId="7" xfId="1" applyNumberFormat="1" applyFont="1" applyFill="1" applyBorder="1" applyAlignment="1">
      <alignment horizontal="center"/>
    </xf>
    <xf numFmtId="166" fontId="20" fillId="0" borderId="7" xfId="1" applyNumberFormat="1" applyFont="1" applyFill="1" applyBorder="1" applyAlignment="1">
      <alignment horizontal="center"/>
    </xf>
    <xf numFmtId="0" fontId="7" fillId="0" borderId="8" xfId="0" applyFont="1" applyBorder="1"/>
    <xf numFmtId="0" fontId="7" fillId="0" borderId="5" xfId="0" applyFont="1" applyBorder="1"/>
    <xf numFmtId="43" fontId="7" fillId="0" borderId="9" xfId="1" applyFont="1" applyFill="1" applyBorder="1"/>
    <xf numFmtId="10" fontId="7" fillId="0" borderId="10" xfId="2" applyNumberFormat="1" applyFont="1" applyFill="1" applyBorder="1" applyAlignment="1"/>
    <xf numFmtId="43" fontId="7" fillId="0" borderId="11" xfId="1" applyFont="1" applyFill="1" applyBorder="1"/>
    <xf numFmtId="165" fontId="7" fillId="0" borderId="10" xfId="1" applyNumberFormat="1" applyFont="1" applyFill="1" applyBorder="1" applyAlignment="1"/>
    <xf numFmtId="165" fontId="7" fillId="0" borderId="10" xfId="1" applyNumberFormat="1" applyFont="1" applyFill="1" applyBorder="1"/>
    <xf numFmtId="166" fontId="7" fillId="0" borderId="10" xfId="1" applyNumberFormat="1" applyFont="1" applyFill="1" applyBorder="1"/>
    <xf numFmtId="166" fontId="7" fillId="0" borderId="10" xfId="1" applyNumberFormat="1" applyFont="1" applyFill="1" applyBorder="1" applyAlignment="1"/>
    <xf numFmtId="165" fontId="7" fillId="0" borderId="10" xfId="1" applyNumberFormat="1" applyFont="1" applyFill="1" applyBorder="1" applyAlignment="1">
      <alignment horizontal="center"/>
    </xf>
    <xf numFmtId="166" fontId="7" fillId="0" borderId="10" xfId="1" applyNumberFormat="1" applyFont="1" applyFill="1" applyBorder="1" applyAlignment="1">
      <alignment horizontal="center"/>
    </xf>
    <xf numFmtId="10" fontId="7" fillId="0" borderId="10" xfId="1" applyNumberFormat="1" applyFont="1" applyFill="1" applyBorder="1" applyAlignment="1"/>
    <xf numFmtId="164" fontId="7" fillId="0" borderId="9" xfId="1" applyNumberFormat="1" applyFont="1" applyFill="1" applyBorder="1"/>
    <xf numFmtId="0" fontId="21" fillId="0" borderId="0" xfId="0" applyFont="1"/>
    <xf numFmtId="10" fontId="7" fillId="0" borderId="10" xfId="2" applyNumberFormat="1" applyFont="1" applyFill="1" applyBorder="1"/>
    <xf numFmtId="43" fontId="22" fillId="0" borderId="9" xfId="1" applyFont="1" applyFill="1" applyBorder="1"/>
    <xf numFmtId="0" fontId="7" fillId="0" borderId="5" xfId="0" applyFont="1" applyBorder="1" applyAlignment="1">
      <alignment horizontal="left" indent="4"/>
    </xf>
    <xf numFmtId="167" fontId="7" fillId="0" borderId="10" xfId="2" applyNumberFormat="1" applyFont="1" applyFill="1" applyBorder="1"/>
    <xf numFmtId="165" fontId="7" fillId="0" borderId="12" xfId="1" applyNumberFormat="1" applyFont="1" applyFill="1" applyBorder="1"/>
    <xf numFmtId="166" fontId="7" fillId="0" borderId="12" xfId="1" applyNumberFormat="1" applyFont="1" applyFill="1" applyBorder="1"/>
    <xf numFmtId="43" fontId="7" fillId="0" borderId="0" xfId="1" applyFont="1" applyFill="1" applyBorder="1"/>
    <xf numFmtId="165" fontId="7" fillId="0" borderId="0" xfId="1" applyNumberFormat="1" applyFont="1" applyFill="1" applyBorder="1"/>
    <xf numFmtId="166" fontId="7" fillId="0" borderId="0" xfId="1" applyNumberFormat="1" applyFont="1" applyFill="1" applyBorder="1"/>
    <xf numFmtId="0" fontId="23" fillId="0" borderId="0" xfId="0" applyFont="1"/>
    <xf numFmtId="43" fontId="21" fillId="0" borderId="0" xfId="1" applyFont="1" applyFill="1" applyBorder="1"/>
    <xf numFmtId="165" fontId="21" fillId="0" borderId="0" xfId="1" applyNumberFormat="1" applyFont="1" applyFill="1" applyBorder="1"/>
    <xf numFmtId="166" fontId="21" fillId="0" borderId="0" xfId="1" applyNumberFormat="1" applyFont="1" applyFill="1" applyBorder="1"/>
    <xf numFmtId="0" fontId="24" fillId="0" borderId="5" xfId="0" applyFont="1" applyBorder="1"/>
    <xf numFmtId="10" fontId="21" fillId="0" borderId="0" xfId="2" applyNumberFormat="1" applyFont="1" applyFill="1" applyBorder="1"/>
    <xf numFmtId="0" fontId="0" fillId="0" borderId="13" xfId="0" applyBorder="1"/>
    <xf numFmtId="2" fontId="7" fillId="0" borderId="10" xfId="2" applyNumberFormat="1" applyFont="1" applyFill="1" applyBorder="1"/>
    <xf numFmtId="0" fontId="0" fillId="0" borderId="5" xfId="0" applyBorder="1"/>
    <xf numFmtId="0" fontId="19" fillId="0" borderId="0" xfId="0" applyFont="1"/>
    <xf numFmtId="43" fontId="19" fillId="0" borderId="3" xfId="1" applyFont="1" applyFill="1" applyBorder="1"/>
    <xf numFmtId="2" fontId="9" fillId="0" borderId="0" xfId="0" applyNumberFormat="1" applyFont="1" applyProtection="1">
      <protection locked="0"/>
    </xf>
    <xf numFmtId="4" fontId="0" fillId="0" borderId="0" xfId="0" applyNumberFormat="1"/>
    <xf numFmtId="4" fontId="6" fillId="0" borderId="0" xfId="0" applyNumberFormat="1" applyFont="1" applyAlignment="1">
      <alignment horizontal="left" vertical="center" wrapText="1"/>
    </xf>
    <xf numFmtId="4" fontId="0" fillId="0" borderId="0" xfId="0" applyNumberFormat="1" applyAlignment="1">
      <alignment horizontal="left" vertical="center" wrapText="1"/>
    </xf>
    <xf numFmtId="10" fontId="6" fillId="0" borderId="0" xfId="2" applyNumberFormat="1" applyFont="1"/>
    <xf numFmtId="0" fontId="25" fillId="3" borderId="0" xfId="0" applyFont="1" applyFill="1"/>
    <xf numFmtId="4" fontId="25" fillId="3" borderId="0" xfId="0" applyNumberFormat="1" applyFont="1" applyFill="1" applyAlignment="1">
      <alignment horizontal="left" vertical="center" wrapText="1"/>
    </xf>
    <xf numFmtId="4" fontId="25" fillId="3" borderId="0" xfId="0" applyNumberFormat="1" applyFont="1" applyFill="1"/>
    <xf numFmtId="4" fontId="4" fillId="0" borderId="0" xfId="0" applyNumberFormat="1" applyFont="1"/>
    <xf numFmtId="2" fontId="2" fillId="0" borderId="0" xfId="0" applyNumberFormat="1" applyFont="1"/>
    <xf numFmtId="43" fontId="19" fillId="0" borderId="0" xfId="1" applyFont="1" applyBorder="1"/>
    <xf numFmtId="0" fontId="27" fillId="0" borderId="0" xfId="0" applyFont="1"/>
    <xf numFmtId="0" fontId="28" fillId="0" borderId="0" xfId="0" applyFont="1"/>
    <xf numFmtId="43" fontId="14" fillId="0" borderId="0" xfId="1" applyFont="1" applyBorder="1"/>
    <xf numFmtId="0" fontId="14" fillId="2" borderId="4" xfId="0" applyFont="1" applyFill="1" applyBorder="1"/>
    <xf numFmtId="0" fontId="0" fillId="2" borderId="14" xfId="0" applyFill="1" applyBorder="1"/>
    <xf numFmtId="0" fontId="0" fillId="0" borderId="11" xfId="0" applyBorder="1"/>
    <xf numFmtId="43" fontId="19" fillId="0" borderId="6" xfId="1" applyFont="1" applyBorder="1"/>
    <xf numFmtId="43" fontId="19" fillId="0" borderId="15" xfId="1" applyFont="1" applyBorder="1"/>
    <xf numFmtId="43" fontId="19" fillId="0" borderId="7" xfId="1" applyFont="1" applyBorder="1"/>
    <xf numFmtId="43" fontId="19" fillId="0" borderId="11" xfId="1" applyFont="1" applyBorder="1"/>
    <xf numFmtId="43" fontId="19" fillId="0" borderId="10" xfId="1" applyFont="1" applyBorder="1"/>
    <xf numFmtId="0" fontId="0" fillId="0" borderId="8" xfId="0" applyBorder="1"/>
    <xf numFmtId="43" fontId="19" fillId="0" borderId="9" xfId="1" applyFont="1" applyBorder="1"/>
    <xf numFmtId="43" fontId="19" fillId="0" borderId="3" xfId="1" applyFont="1" applyBorder="1"/>
    <xf numFmtId="43" fontId="19" fillId="0" borderId="12" xfId="1" applyFont="1" applyBorder="1"/>
    <xf numFmtId="0" fontId="7" fillId="0" borderId="16" xfId="0" applyFont="1" applyBorder="1"/>
    <xf numFmtId="4" fontId="7" fillId="0" borderId="17" xfId="0" applyNumberFormat="1" applyFont="1" applyBorder="1"/>
    <xf numFmtId="43" fontId="7" fillId="0" borderId="0" xfId="1" applyFont="1" applyBorder="1"/>
    <xf numFmtId="43" fontId="7" fillId="0" borderId="10" xfId="1" applyFont="1" applyBorder="1"/>
    <xf numFmtId="4" fontId="7" fillId="0" borderId="11" xfId="0" applyNumberFormat="1" applyFont="1" applyBorder="1"/>
    <xf numFmtId="0" fontId="7" fillId="0" borderId="11" xfId="0" applyFont="1" applyBorder="1"/>
    <xf numFmtId="0" fontId="7" fillId="0" borderId="17" xfId="0" applyFont="1" applyBorder="1"/>
    <xf numFmtId="164" fontId="7" fillId="0" borderId="11" xfId="0" applyNumberFormat="1" applyFont="1" applyBorder="1"/>
    <xf numFmtId="0" fontId="7" fillId="0" borderId="10" xfId="0" applyFont="1" applyBorder="1"/>
    <xf numFmtId="0" fontId="21" fillId="0" borderId="9" xfId="0" applyFont="1" applyBorder="1"/>
    <xf numFmtId="43" fontId="21" fillId="0" borderId="0" xfId="1" applyFont="1" applyBorder="1"/>
    <xf numFmtId="4" fontId="21" fillId="0" borderId="0" xfId="0" applyNumberFormat="1" applyFont="1"/>
    <xf numFmtId="0" fontId="22" fillId="0" borderId="0" xfId="0" applyFont="1"/>
    <xf numFmtId="164" fontId="29" fillId="0" borderId="0" xfId="0" applyNumberFormat="1" applyFont="1"/>
    <xf numFmtId="164" fontId="21" fillId="0" borderId="0" xfId="0" applyNumberFormat="1" applyFont="1"/>
    <xf numFmtId="43" fontId="0" fillId="0" borderId="0" xfId="1" applyFont="1" applyBorder="1"/>
    <xf numFmtId="0" fontId="0" fillId="2" borderId="4" xfId="0" applyFill="1" applyBorder="1"/>
    <xf numFmtId="43" fontId="0" fillId="0" borderId="6" xfId="1" applyFont="1" applyBorder="1"/>
    <xf numFmtId="43" fontId="0" fillId="0" borderId="15" xfId="1" applyFont="1" applyBorder="1"/>
    <xf numFmtId="43" fontId="0" fillId="0" borderId="7" xfId="1" applyFont="1" applyBorder="1"/>
    <xf numFmtId="43" fontId="0" fillId="0" borderId="9" xfId="1" applyFont="1" applyBorder="1"/>
    <xf numFmtId="43" fontId="0" fillId="0" borderId="10" xfId="1" applyFont="1" applyBorder="1"/>
    <xf numFmtId="43" fontId="0" fillId="0" borderId="11" xfId="1" applyFont="1" applyBorder="1"/>
    <xf numFmtId="43" fontId="0" fillId="0" borderId="0" xfId="1" applyFont="1" applyBorder="1" applyAlignment="1">
      <alignment horizontal="right"/>
    </xf>
    <xf numFmtId="0" fontId="30" fillId="0" borderId="0" xfId="0" applyFont="1"/>
    <xf numFmtId="0" fontId="31" fillId="0" borderId="0" xfId="0" applyFont="1"/>
    <xf numFmtId="0" fontId="14" fillId="0" borderId="5" xfId="0" applyFont="1" applyBorder="1"/>
    <xf numFmtId="43" fontId="14" fillId="0" borderId="6" xfId="1" applyFont="1" applyBorder="1" applyAlignment="1">
      <alignment horizontal="center"/>
    </xf>
    <xf numFmtId="43" fontId="14" fillId="0" borderId="7" xfId="1" applyFont="1" applyBorder="1" applyAlignment="1">
      <alignment horizontal="center"/>
    </xf>
    <xf numFmtId="43" fontId="14" fillId="0" borderId="11" xfId="1" applyFont="1" applyBorder="1" applyAlignment="1">
      <alignment horizontal="center"/>
    </xf>
    <xf numFmtId="43" fontId="14" fillId="0" borderId="10" xfId="1" applyFont="1" applyBorder="1" applyAlignment="1">
      <alignment horizontal="center"/>
    </xf>
    <xf numFmtId="4" fontId="0" fillId="0" borderId="11" xfId="0" applyNumberFormat="1" applyBorder="1"/>
    <xf numFmtId="0" fontId="0" fillId="0" borderId="10" xfId="0" applyBorder="1"/>
    <xf numFmtId="0" fontId="0" fillId="0" borderId="9" xfId="0" applyBorder="1"/>
    <xf numFmtId="10" fontId="0" fillId="0" borderId="10" xfId="2" applyNumberFormat="1" applyFont="1" applyBorder="1"/>
    <xf numFmtId="164" fontId="0" fillId="0" borderId="11" xfId="0" applyNumberFormat="1" applyBorder="1"/>
    <xf numFmtId="164" fontId="0" fillId="0" borderId="9" xfId="0" applyNumberFormat="1" applyBorder="1"/>
    <xf numFmtId="0" fontId="0" fillId="0" borderId="12" xfId="0" applyBorder="1"/>
    <xf numFmtId="10" fontId="0" fillId="0" borderId="0" xfId="2" applyNumberFormat="1" applyFont="1"/>
    <xf numFmtId="1" fontId="0" fillId="0" borderId="0" xfId="0" applyNumberFormat="1"/>
    <xf numFmtId="43" fontId="0" fillId="0" borderId="0" xfId="0" applyNumberFormat="1"/>
    <xf numFmtId="2" fontId="3" fillId="0" borderId="0" xfId="0" applyNumberFormat="1" applyFont="1"/>
    <xf numFmtId="2" fontId="1" fillId="0" borderId="0" xfId="0" applyNumberFormat="1" applyFont="1"/>
    <xf numFmtId="2" fontId="8" fillId="0" borderId="0" xfId="0" applyNumberFormat="1" applyFont="1"/>
    <xf numFmtId="2" fontId="3" fillId="0" borderId="0" xfId="0" applyNumberFormat="1" applyFont="1" applyProtection="1">
      <protection locked="0"/>
    </xf>
    <xf numFmtId="2" fontId="32" fillId="0" borderId="1" xfId="0" applyNumberFormat="1" applyFont="1" applyBorder="1"/>
    <xf numFmtId="4" fontId="11" fillId="0" borderId="2" xfId="0" applyNumberFormat="1" applyFont="1" applyBorder="1" applyProtection="1">
      <protection locked="0"/>
    </xf>
    <xf numFmtId="4" fontId="9" fillId="0" borderId="0" xfId="0" applyNumberFormat="1" applyFont="1" applyAlignment="1" applyProtection="1">
      <alignment wrapText="1"/>
      <protection locked="0"/>
    </xf>
    <xf numFmtId="4" fontId="13" fillId="0" borderId="2" xfId="0" applyNumberFormat="1" applyFont="1" applyBorder="1" applyProtection="1">
      <protection locked="0"/>
    </xf>
    <xf numFmtId="4" fontId="13" fillId="0" borderId="0" xfId="0" applyNumberFormat="1" applyFont="1" applyProtection="1">
      <protection locked="0"/>
    </xf>
    <xf numFmtId="4" fontId="14" fillId="0" borderId="0" xfId="0" applyNumberFormat="1" applyFont="1"/>
    <xf numFmtId="4" fontId="12" fillId="0" borderId="0" xfId="0" applyNumberFormat="1" applyFont="1"/>
    <xf numFmtId="10" fontId="9" fillId="0" borderId="0" xfId="2" applyNumberFormat="1" applyFont="1" applyProtection="1">
      <protection locked="0"/>
    </xf>
    <xf numFmtId="10" fontId="0" fillId="0" borderId="0" xfId="0" applyNumberFormat="1"/>
    <xf numFmtId="168" fontId="6" fillId="0" borderId="0" xfId="2" applyNumberFormat="1" applyFont="1"/>
    <xf numFmtId="168" fontId="0" fillId="0" borderId="0" xfId="0" applyNumberFormat="1"/>
    <xf numFmtId="10" fontId="5" fillId="0" borderId="0" xfId="2" applyNumberFormat="1" applyFont="1" applyProtection="1">
      <protection locked="0"/>
    </xf>
    <xf numFmtId="9" fontId="2" fillId="0" borderId="0" xfId="2" applyFont="1"/>
    <xf numFmtId="10" fontId="3" fillId="0" borderId="0" xfId="2" applyNumberFormat="1" applyFont="1"/>
    <xf numFmtId="10" fontId="2" fillId="0" borderId="0" xfId="2" applyNumberFormat="1" applyFont="1"/>
    <xf numFmtId="2" fontId="6" fillId="0" borderId="0" xfId="2" applyNumberFormat="1" applyFont="1"/>
    <xf numFmtId="43" fontId="14" fillId="2" borderId="4" xfId="1" applyFont="1" applyFill="1" applyBorder="1" applyAlignment="1">
      <alignment horizontal="center"/>
    </xf>
    <xf numFmtId="2" fontId="0" fillId="0" borderId="0" xfId="2" applyNumberFormat="1" applyFont="1"/>
    <xf numFmtId="168" fontId="0" fillId="0" borderId="0" xfId="2" applyNumberFormat="1" applyFont="1"/>
    <xf numFmtId="170" fontId="0" fillId="0" borderId="0" xfId="2" applyNumberFormat="1" applyFont="1"/>
    <xf numFmtId="169" fontId="9" fillId="0" borderId="0" xfId="2" applyNumberFormat="1" applyFont="1" applyProtection="1">
      <protection locked="0"/>
    </xf>
    <xf numFmtId="43" fontId="20" fillId="2" borderId="4" xfId="1" applyFont="1" applyFill="1" applyBorder="1" applyAlignment="1">
      <alignment horizontal="center"/>
    </xf>
    <xf numFmtId="9" fontId="0" fillId="0" borderId="0" xfId="2" applyFont="1"/>
    <xf numFmtId="43" fontId="20" fillId="2" borderId="4" xfId="1" applyFont="1" applyFill="1" applyBorder="1" applyAlignment="1"/>
    <xf numFmtId="43" fontId="7" fillId="0" borderId="3" xfId="1" applyFont="1" applyFill="1" applyBorder="1" applyAlignment="1">
      <alignment horizontal="center"/>
    </xf>
    <xf numFmtId="43" fontId="20" fillId="2" borderId="4" xfId="1" applyFont="1" applyFill="1" applyBorder="1" applyAlignment="1">
      <alignment horizontal="center"/>
    </xf>
    <xf numFmtId="0" fontId="20" fillId="0" borderId="5" xfId="0" applyFont="1" applyBorder="1" applyAlignment="1">
      <alignment horizontal="left" vertical="center" wrapText="1"/>
    </xf>
    <xf numFmtId="43" fontId="26" fillId="0" borderId="6" xfId="1" applyFont="1" applyBorder="1" applyAlignment="1">
      <alignment horizontal="center" vertical="center"/>
    </xf>
    <xf numFmtId="43" fontId="26" fillId="0" borderId="7" xfId="1" applyFont="1" applyBorder="1" applyAlignment="1">
      <alignment horizontal="center" vertical="center"/>
    </xf>
    <xf numFmtId="43" fontId="26" fillId="0" borderId="9" xfId="1" applyFont="1" applyBorder="1" applyAlignment="1">
      <alignment horizontal="center" vertical="center"/>
    </xf>
    <xf numFmtId="43" fontId="26" fillId="0" borderId="12" xfId="1" applyFont="1" applyBorder="1" applyAlignment="1">
      <alignment horizontal="center" vertical="center"/>
    </xf>
    <xf numFmtId="43" fontId="14" fillId="2" borderId="4" xfId="1" applyFont="1" applyFill="1" applyBorder="1" applyAlignment="1">
      <alignment horizontal="center"/>
    </xf>
    <xf numFmtId="0" fontId="33" fillId="0" borderId="0" xfId="0" applyFont="1"/>
    <xf numFmtId="4" fontId="33" fillId="0" borderId="0" xfId="0" applyNumberFormat="1" applyFont="1"/>
    <xf numFmtId="3" fontId="0" fillId="0" borderId="9" xfId="0" applyNumberFormat="1" applyBorder="1"/>
    <xf numFmtId="4" fontId="0" fillId="0" borderId="9" xfId="0" applyNumberFormat="1" applyBorder="1"/>
    <xf numFmtId="10" fontId="34" fillId="0" borderId="0" xfId="2" applyNumberFormat="1" applyFont="1"/>
    <xf numFmtId="10" fontId="34" fillId="3" borderId="0" xfId="2" applyNumberFormat="1" applyFont="1" applyFill="1"/>
    <xf numFmtId="10" fontId="35" fillId="3" borderId="0" xfId="2" applyNumberFormat="1" applyFont="1" applyFill="1"/>
    <xf numFmtId="0" fontId="35" fillId="0" borderId="0" xfId="0" applyFont="1"/>
    <xf numFmtId="10" fontId="35" fillId="0" borderId="0" xfId="2" applyNumberFormat="1" applyFont="1"/>
    <xf numFmtId="0" fontId="2" fillId="3" borderId="0" xfId="0" applyFont="1" applyFill="1"/>
    <xf numFmtId="2" fontId="2" fillId="3" borderId="0" xfId="0" applyNumberFormat="1" applyFont="1" applyFill="1"/>
    <xf numFmtId="10" fontId="9" fillId="3" borderId="0" xfId="2" applyNumberFormat="1" applyFont="1" applyFill="1" applyProtection="1">
      <protection locked="0"/>
    </xf>
    <xf numFmtId="168" fontId="6" fillId="3" borderId="0" xfId="2" applyNumberFormat="1" applyFont="1" applyFill="1"/>
    <xf numFmtId="0" fontId="9" fillId="3" borderId="0" xfId="0" applyFont="1" applyFill="1" applyProtection="1">
      <protection locked="0"/>
    </xf>
    <xf numFmtId="9" fontId="9" fillId="3" borderId="0" xfId="2" applyFont="1" applyFill="1" applyProtection="1">
      <protection locked="0"/>
    </xf>
    <xf numFmtId="9" fontId="10" fillId="3" borderId="0" xfId="2" applyFont="1" applyFill="1"/>
    <xf numFmtId="0" fontId="1" fillId="3" borderId="0" xfId="0" applyFont="1" applyFill="1"/>
    <xf numFmtId="10" fontId="3" fillId="3" borderId="0" xfId="2" applyNumberFormat="1" applyFont="1" applyFill="1"/>
    <xf numFmtId="10" fontId="2" fillId="3" borderId="0" xfId="2" applyNumberFormat="1" applyFont="1" applyFill="1"/>
    <xf numFmtId="169" fontId="2" fillId="3" borderId="0" xfId="2" applyNumberFormat="1" applyFont="1" applyFill="1"/>
    <xf numFmtId="174" fontId="3" fillId="3" borderId="0" xfId="2" applyNumberFormat="1" applyFont="1" applyFill="1"/>
    <xf numFmtId="43" fontId="7" fillId="3" borderId="0" xfId="1" applyFont="1" applyFill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76201</xdr:colOff>
      <xdr:row>15</xdr:row>
      <xdr:rowOff>19050</xdr:rowOff>
    </xdr:from>
    <xdr:to>
      <xdr:col>1</xdr:col>
      <xdr:colOff>85726</xdr:colOff>
      <xdr:row>20</xdr:row>
      <xdr:rowOff>57150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CxnSpPr/>
      </xdr:nvCxnSpPr>
      <xdr:spPr>
        <a:xfrm rot="5400000">
          <a:off x="-276224" y="4133850"/>
          <a:ext cx="1038225" cy="95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76200</xdr:colOff>
      <xdr:row>20</xdr:row>
      <xdr:rowOff>76200</xdr:rowOff>
    </xdr:from>
    <xdr:to>
      <xdr:col>1</xdr:col>
      <xdr:colOff>333375</xdr:colOff>
      <xdr:row>20</xdr:row>
      <xdr:rowOff>85725</xdr:rowOff>
    </xdr:to>
    <xdr:cxnSp macro="">
      <xdr:nvCxnSpPr>
        <xdr:cNvPr id="3" name="Straight Arrow Connector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CxnSpPr/>
      </xdr:nvCxnSpPr>
      <xdr:spPr>
        <a:xfrm>
          <a:off x="238125" y="4676775"/>
          <a:ext cx="25717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76200</xdr:colOff>
      <xdr:row>17</xdr:row>
      <xdr:rowOff>95250</xdr:rowOff>
    </xdr:from>
    <xdr:to>
      <xdr:col>1</xdr:col>
      <xdr:colOff>333375</xdr:colOff>
      <xdr:row>17</xdr:row>
      <xdr:rowOff>104775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CxnSpPr/>
      </xdr:nvCxnSpPr>
      <xdr:spPr>
        <a:xfrm>
          <a:off x="238125" y="4095750"/>
          <a:ext cx="25717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76200</xdr:colOff>
      <xdr:row>20</xdr:row>
      <xdr:rowOff>76200</xdr:rowOff>
    </xdr:from>
    <xdr:to>
      <xdr:col>1</xdr:col>
      <xdr:colOff>333375</xdr:colOff>
      <xdr:row>20</xdr:row>
      <xdr:rowOff>85725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CxnSpPr/>
      </xdr:nvCxnSpPr>
      <xdr:spPr>
        <a:xfrm>
          <a:off x="238125" y="4676775"/>
          <a:ext cx="25717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76200</xdr:colOff>
      <xdr:row>17</xdr:row>
      <xdr:rowOff>95250</xdr:rowOff>
    </xdr:from>
    <xdr:to>
      <xdr:col>1</xdr:col>
      <xdr:colOff>333375</xdr:colOff>
      <xdr:row>17</xdr:row>
      <xdr:rowOff>104775</xdr:rowOff>
    </xdr:to>
    <xdr:cxnSp macro="">
      <xdr:nvCxnSpPr>
        <xdr:cNvPr id="6" name="Straight Arrow Connector 5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CxnSpPr/>
      </xdr:nvCxnSpPr>
      <xdr:spPr>
        <a:xfrm>
          <a:off x="238125" y="4095750"/>
          <a:ext cx="25717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76201</xdr:colOff>
      <xdr:row>30</xdr:row>
      <xdr:rowOff>19050</xdr:rowOff>
    </xdr:from>
    <xdr:to>
      <xdr:col>1</xdr:col>
      <xdr:colOff>85726</xdr:colOff>
      <xdr:row>35</xdr:row>
      <xdr:rowOff>57150</xdr:rowOff>
    </xdr:to>
    <xdr:cxnSp macro="">
      <xdr:nvCxnSpPr>
        <xdr:cNvPr id="7" name="Straight Connector 1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CxnSpPr/>
      </xdr:nvCxnSpPr>
      <xdr:spPr>
        <a:xfrm rot="5400000">
          <a:off x="-276224" y="7019925"/>
          <a:ext cx="1038225" cy="95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76200</xdr:colOff>
      <xdr:row>35</xdr:row>
      <xdr:rowOff>76200</xdr:rowOff>
    </xdr:from>
    <xdr:to>
      <xdr:col>1</xdr:col>
      <xdr:colOff>333375</xdr:colOff>
      <xdr:row>35</xdr:row>
      <xdr:rowOff>85725</xdr:rowOff>
    </xdr:to>
    <xdr:cxnSp macro="">
      <xdr:nvCxnSpPr>
        <xdr:cNvPr id="8" name="Straight Arrow Connector 2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CxnSpPr/>
      </xdr:nvCxnSpPr>
      <xdr:spPr>
        <a:xfrm>
          <a:off x="238125" y="7562850"/>
          <a:ext cx="25717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76200</xdr:colOff>
      <xdr:row>32</xdr:row>
      <xdr:rowOff>95250</xdr:rowOff>
    </xdr:from>
    <xdr:to>
      <xdr:col>1</xdr:col>
      <xdr:colOff>333375</xdr:colOff>
      <xdr:row>32</xdr:row>
      <xdr:rowOff>104775</xdr:rowOff>
    </xdr:to>
    <xdr:cxnSp macro="">
      <xdr:nvCxnSpPr>
        <xdr:cNvPr id="9" name="Straight Arrow Connector 3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CxnSpPr/>
      </xdr:nvCxnSpPr>
      <xdr:spPr>
        <a:xfrm>
          <a:off x="238125" y="6981825"/>
          <a:ext cx="25717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</xdr:colOff>
      <xdr:row>35</xdr:row>
      <xdr:rowOff>66675</xdr:rowOff>
    </xdr:from>
    <xdr:to>
      <xdr:col>1</xdr:col>
      <xdr:colOff>66675</xdr:colOff>
      <xdr:row>40</xdr:row>
      <xdr:rowOff>9525</xdr:rowOff>
    </xdr:to>
    <xdr:cxnSp macro="">
      <xdr:nvCxnSpPr>
        <xdr:cNvPr id="10" name="Straight Arrow Connector 4">
          <a:extLst>
            <a:ext uri="{FF2B5EF4-FFF2-40B4-BE49-F238E27FC236}">
              <a16:creationId xmlns:a16="http://schemas.microsoft.com/office/drawing/2014/main" id="{00000000-0008-0000-0700-000009080000}"/>
            </a:ext>
          </a:extLst>
        </xdr:cNvPr>
        <xdr:cNvCxnSpPr>
          <a:cxnSpLocks noChangeShapeType="1"/>
        </xdr:cNvCxnSpPr>
      </xdr:nvCxnSpPr>
      <xdr:spPr bwMode="auto">
        <a:xfrm flipH="1" flipV="1">
          <a:off x="219075" y="7553325"/>
          <a:ext cx="9525" cy="866775"/>
        </a:xfrm>
        <a:prstGeom prst="straightConnector1">
          <a:avLst/>
        </a:prstGeom>
        <a:noFill/>
        <a:ln w="9525" algn="ctr">
          <a:solidFill>
            <a:srgbClr val="4A7EBB"/>
          </a:solidFill>
          <a:round/>
          <a:headEnd/>
          <a:tailEnd type="arrow" w="med" len="med"/>
        </a:ln>
      </xdr:spPr>
    </xdr:cxnSp>
    <xdr:clientData/>
  </xdr:twoCellAnchor>
  <xdr:twoCellAnchor>
    <xdr:from>
      <xdr:col>1</xdr:col>
      <xdr:colOff>76200</xdr:colOff>
      <xdr:row>32</xdr:row>
      <xdr:rowOff>95250</xdr:rowOff>
    </xdr:from>
    <xdr:to>
      <xdr:col>1</xdr:col>
      <xdr:colOff>333375</xdr:colOff>
      <xdr:row>32</xdr:row>
      <xdr:rowOff>104775</xdr:rowOff>
    </xdr:to>
    <xdr:cxnSp macro="">
      <xdr:nvCxnSpPr>
        <xdr:cNvPr id="11" name="Straight Arrow Connector 5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CxnSpPr/>
      </xdr:nvCxnSpPr>
      <xdr:spPr>
        <a:xfrm>
          <a:off x="238125" y="6981825"/>
          <a:ext cx="25717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57150</xdr:colOff>
      <xdr:row>39</xdr:row>
      <xdr:rowOff>152400</xdr:rowOff>
    </xdr:from>
    <xdr:to>
      <xdr:col>1</xdr:col>
      <xdr:colOff>314325</xdr:colOff>
      <xdr:row>40</xdr:row>
      <xdr:rowOff>0</xdr:rowOff>
    </xdr:to>
    <xdr:cxnSp macro="">
      <xdr:nvCxnSpPr>
        <xdr:cNvPr id="12" name="Straight Arrow Connector 2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CxnSpPr/>
      </xdr:nvCxnSpPr>
      <xdr:spPr>
        <a:xfrm>
          <a:off x="219075" y="8362950"/>
          <a:ext cx="257175" cy="476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62"/>
  <sheetViews>
    <sheetView topLeftCell="A12" workbookViewId="0">
      <selection activeCell="C12" sqref="C12"/>
    </sheetView>
  </sheetViews>
  <sheetFormatPr defaultRowHeight="14.5" x14ac:dyDescent="0.35"/>
  <cols>
    <col min="2" max="2" width="57.81640625" bestFit="1" customWidth="1"/>
    <col min="3" max="3" width="23.7265625" customWidth="1"/>
    <col min="4" max="4" width="21.81640625" customWidth="1"/>
    <col min="5" max="5" width="22.453125" customWidth="1"/>
  </cols>
  <sheetData>
    <row r="2" spans="2:5" ht="21" x14ac:dyDescent="0.5">
      <c r="B2" s="1" t="s">
        <v>154</v>
      </c>
      <c r="C2" s="1"/>
      <c r="D2" s="2"/>
      <c r="E2" s="3"/>
    </row>
    <row r="3" spans="2:5" ht="21" x14ac:dyDescent="0.5">
      <c r="B3" s="4"/>
      <c r="C3" s="4"/>
      <c r="D3" s="2"/>
      <c r="E3" s="3"/>
    </row>
    <row r="4" spans="2:5" ht="21" x14ac:dyDescent="0.5">
      <c r="B4" s="2"/>
      <c r="C4" s="5" t="s">
        <v>0</v>
      </c>
      <c r="D4" s="5" t="s">
        <v>0</v>
      </c>
      <c r="E4" s="5" t="s">
        <v>0</v>
      </c>
    </row>
    <row r="5" spans="2:5" ht="21" x14ac:dyDescent="0.5">
      <c r="B5" s="2"/>
      <c r="C5" s="2" t="s">
        <v>153</v>
      </c>
      <c r="D5" s="2" t="s">
        <v>127</v>
      </c>
      <c r="E5" s="2" t="s">
        <v>27</v>
      </c>
    </row>
    <row r="6" spans="2:5" ht="21" x14ac:dyDescent="0.5">
      <c r="B6" s="2"/>
      <c r="C6" s="5" t="s">
        <v>1</v>
      </c>
      <c r="D6" s="5" t="s">
        <v>1</v>
      </c>
      <c r="E6" s="5" t="s">
        <v>1</v>
      </c>
    </row>
    <row r="7" spans="2:5" ht="21" x14ac:dyDescent="0.5">
      <c r="B7" s="6" t="s">
        <v>15</v>
      </c>
      <c r="C7" s="6"/>
      <c r="D7" s="2"/>
      <c r="E7" s="2"/>
    </row>
    <row r="8" spans="2:5" ht="21" x14ac:dyDescent="0.5">
      <c r="B8" s="6" t="s">
        <v>13</v>
      </c>
      <c r="C8" s="6"/>
      <c r="D8" s="2"/>
      <c r="E8" s="2"/>
    </row>
    <row r="9" spans="2:5" ht="21" x14ac:dyDescent="0.5">
      <c r="B9" s="2" t="s">
        <v>137</v>
      </c>
      <c r="C9" s="75">
        <v>24.03</v>
      </c>
      <c r="D9" s="135">
        <v>24.01</v>
      </c>
      <c r="E9" s="136">
        <v>24</v>
      </c>
    </row>
    <row r="10" spans="2:5" ht="21" x14ac:dyDescent="0.5">
      <c r="B10" s="2" t="s">
        <v>14</v>
      </c>
      <c r="C10" s="75">
        <v>4015.42</v>
      </c>
      <c r="D10" s="135">
        <v>3211.27</v>
      </c>
      <c r="E10" s="136">
        <v>2557.98</v>
      </c>
    </row>
    <row r="11" spans="2:5" ht="21" x14ac:dyDescent="0.5">
      <c r="B11" s="7" t="s">
        <v>138</v>
      </c>
      <c r="C11" s="75">
        <f>SUM(C9:C10)</f>
        <v>4039.4500000000003</v>
      </c>
      <c r="D11" s="75">
        <f>SUM(D9:D10)</f>
        <v>3235.28</v>
      </c>
      <c r="E11" s="75">
        <f>SUM(E9:E10)</f>
        <v>2581.98</v>
      </c>
    </row>
    <row r="12" spans="2:5" ht="21" x14ac:dyDescent="0.5">
      <c r="B12" s="6" t="s">
        <v>16</v>
      </c>
      <c r="C12" s="133"/>
      <c r="D12" s="75"/>
      <c r="E12" s="75"/>
    </row>
    <row r="13" spans="2:5" ht="21" x14ac:dyDescent="0.5">
      <c r="B13" s="6" t="s">
        <v>17</v>
      </c>
      <c r="C13" s="134"/>
      <c r="D13" s="135"/>
      <c r="E13" s="75"/>
    </row>
    <row r="14" spans="2:5" ht="21" x14ac:dyDescent="0.5">
      <c r="B14" s="7" t="s">
        <v>20</v>
      </c>
      <c r="C14" s="75"/>
      <c r="D14" s="75"/>
      <c r="E14" s="75"/>
    </row>
    <row r="15" spans="2:5" ht="21" x14ac:dyDescent="0.5">
      <c r="B15" s="7" t="s">
        <v>140</v>
      </c>
      <c r="C15" s="75">
        <v>0.26</v>
      </c>
      <c r="D15" s="75">
        <v>0.3</v>
      </c>
      <c r="E15" s="75">
        <v>0.44</v>
      </c>
    </row>
    <row r="16" spans="2:5" ht="21" x14ac:dyDescent="0.5">
      <c r="B16" s="6" t="s">
        <v>139</v>
      </c>
      <c r="C16" s="133">
        <v>27.03</v>
      </c>
      <c r="D16" s="133">
        <v>24.97</v>
      </c>
      <c r="E16" s="135">
        <v>22.86</v>
      </c>
    </row>
    <row r="17" spans="2:6" ht="21" x14ac:dyDescent="0.5">
      <c r="B17" s="2" t="s">
        <v>141</v>
      </c>
      <c r="C17" s="75">
        <v>3.87</v>
      </c>
      <c r="D17" s="133">
        <v>0</v>
      </c>
      <c r="E17" s="135">
        <v>0</v>
      </c>
    </row>
    <row r="18" spans="2:6" ht="21" x14ac:dyDescent="0.5">
      <c r="B18" s="2" t="s">
        <v>142</v>
      </c>
      <c r="C18" s="75">
        <v>0</v>
      </c>
      <c r="D18" s="75">
        <v>0.72</v>
      </c>
      <c r="E18" s="135">
        <v>1.44</v>
      </c>
    </row>
    <row r="19" spans="2:6" ht="21" x14ac:dyDescent="0.5">
      <c r="B19" s="2" t="s">
        <v>143</v>
      </c>
      <c r="C19" s="75">
        <f>SUM(C15:C18)</f>
        <v>31.160000000000004</v>
      </c>
      <c r="D19" s="75">
        <f>SUM(D15:D18)</f>
        <v>25.99</v>
      </c>
      <c r="E19" s="75">
        <f>SUM(E15:E18)</f>
        <v>24.740000000000002</v>
      </c>
    </row>
    <row r="20" spans="2:6" ht="21" x14ac:dyDescent="0.5">
      <c r="B20" s="6" t="s">
        <v>25</v>
      </c>
      <c r="C20" s="134"/>
      <c r="D20" s="135"/>
      <c r="E20" s="135"/>
    </row>
    <row r="21" spans="2:6" ht="21" x14ac:dyDescent="0.5">
      <c r="B21" s="2" t="s">
        <v>20</v>
      </c>
      <c r="C21" s="75"/>
      <c r="D21" s="135"/>
      <c r="E21" s="75"/>
    </row>
    <row r="22" spans="2:6" ht="21" x14ac:dyDescent="0.5">
      <c r="B22" s="2" t="s">
        <v>144</v>
      </c>
      <c r="C22" s="75">
        <v>0</v>
      </c>
      <c r="D22" s="135">
        <v>9.01</v>
      </c>
      <c r="E22" s="75">
        <v>0</v>
      </c>
    </row>
    <row r="23" spans="2:6" ht="21" x14ac:dyDescent="0.5">
      <c r="B23" s="2" t="s">
        <v>21</v>
      </c>
      <c r="C23" s="75"/>
      <c r="D23" s="135"/>
      <c r="E23" s="75"/>
    </row>
    <row r="24" spans="2:6" ht="21" x14ac:dyDescent="0.5">
      <c r="B24" s="2" t="s">
        <v>22</v>
      </c>
      <c r="C24" s="75">
        <v>1.78</v>
      </c>
      <c r="D24" s="75">
        <v>1.55</v>
      </c>
      <c r="E24" s="135"/>
      <c r="F24" s="22"/>
    </row>
    <row r="25" spans="2:6" ht="21" x14ac:dyDescent="0.5">
      <c r="B25" s="2" t="s">
        <v>23</v>
      </c>
      <c r="C25" s="75">
        <v>1030.76</v>
      </c>
      <c r="D25" s="75">
        <v>864.81</v>
      </c>
      <c r="E25" s="135">
        <v>643.82000000000005</v>
      </c>
      <c r="F25" s="22" t="s">
        <v>152</v>
      </c>
    </row>
    <row r="26" spans="2:6" ht="21" x14ac:dyDescent="0.5">
      <c r="B26" s="6" t="s">
        <v>18</v>
      </c>
      <c r="C26" s="133">
        <v>205.17</v>
      </c>
      <c r="D26" s="75">
        <v>182.62</v>
      </c>
      <c r="E26" s="135">
        <v>142.93</v>
      </c>
      <c r="F26" s="22"/>
    </row>
    <row r="27" spans="2:6" ht="21" x14ac:dyDescent="0.5">
      <c r="B27" s="2" t="s">
        <v>24</v>
      </c>
      <c r="C27" s="75">
        <v>84.83</v>
      </c>
      <c r="D27" s="75">
        <v>82.05</v>
      </c>
      <c r="E27" s="135">
        <v>85.62</v>
      </c>
      <c r="F27" s="22"/>
    </row>
    <row r="28" spans="2:6" ht="21" x14ac:dyDescent="0.5">
      <c r="B28" s="2" t="s">
        <v>142</v>
      </c>
      <c r="C28" s="75">
        <v>0.71</v>
      </c>
      <c r="D28" s="75">
        <v>0.71</v>
      </c>
      <c r="E28" s="135">
        <v>0.71</v>
      </c>
      <c r="F28" s="22"/>
    </row>
    <row r="29" spans="2:6" ht="21" x14ac:dyDescent="0.5">
      <c r="B29" s="2" t="s">
        <v>19</v>
      </c>
      <c r="C29" s="75">
        <v>188.52</v>
      </c>
      <c r="D29" s="75">
        <v>171.05</v>
      </c>
      <c r="E29" s="135">
        <v>174.48</v>
      </c>
      <c r="F29" s="22"/>
    </row>
    <row r="30" spans="2:6" ht="21" x14ac:dyDescent="0.5">
      <c r="B30" s="2" t="s">
        <v>145</v>
      </c>
      <c r="C30" s="75">
        <v>70.59</v>
      </c>
      <c r="D30" s="75">
        <v>54.23</v>
      </c>
      <c r="E30" s="135">
        <v>41.86</v>
      </c>
      <c r="F30" s="22"/>
    </row>
    <row r="31" spans="2:6" ht="21" x14ac:dyDescent="0.5">
      <c r="B31" s="7" t="s">
        <v>81</v>
      </c>
      <c r="C31" s="75">
        <f>SUM(C21:C30)</f>
        <v>1582.36</v>
      </c>
      <c r="D31" s="75">
        <f>SUM(D21:D30)</f>
        <v>1366.0299999999997</v>
      </c>
      <c r="E31" s="75">
        <f>SUM(E21:E30)</f>
        <v>1089.4199999999998</v>
      </c>
    </row>
    <row r="32" spans="2:6" ht="21" x14ac:dyDescent="0.5">
      <c r="B32" s="7" t="s">
        <v>146</v>
      </c>
      <c r="C32" s="75">
        <f>C31+C19</f>
        <v>1613.52</v>
      </c>
      <c r="D32" s="75">
        <f>D31+D19</f>
        <v>1392.0199999999998</v>
      </c>
      <c r="E32" s="75">
        <f>E31+E19</f>
        <v>1114.1599999999999</v>
      </c>
    </row>
    <row r="33" spans="2:5" ht="21.5" thickBot="1" x14ac:dyDescent="0.55000000000000004">
      <c r="B33" s="6" t="s">
        <v>26</v>
      </c>
      <c r="C33" s="137">
        <f>C32+C11</f>
        <v>5652.97</v>
      </c>
      <c r="D33" s="137">
        <f>D32+D11</f>
        <v>4627.3</v>
      </c>
      <c r="E33" s="137">
        <f>E32+E11</f>
        <v>3696.14</v>
      </c>
    </row>
    <row r="34" spans="2:5" ht="21" x14ac:dyDescent="0.5">
      <c r="B34" s="6"/>
      <c r="C34" s="134"/>
      <c r="D34" s="135"/>
      <c r="E34" s="135"/>
    </row>
    <row r="35" spans="2:5" ht="21" x14ac:dyDescent="0.5">
      <c r="B35" s="6" t="s">
        <v>29</v>
      </c>
      <c r="C35" s="134"/>
      <c r="D35" s="135"/>
      <c r="E35" s="75"/>
    </row>
    <row r="36" spans="2:5" ht="21" x14ac:dyDescent="0.5">
      <c r="B36" s="6" t="s">
        <v>28</v>
      </c>
      <c r="C36" s="134"/>
      <c r="D36" s="135"/>
      <c r="E36" s="75"/>
    </row>
    <row r="37" spans="2:5" ht="21" x14ac:dyDescent="0.5">
      <c r="B37" s="2" t="s">
        <v>30</v>
      </c>
      <c r="C37" s="75">
        <v>1283.8499999999999</v>
      </c>
      <c r="D37" s="75">
        <v>1008.31</v>
      </c>
      <c r="E37" s="135">
        <v>812.47</v>
      </c>
    </row>
    <row r="38" spans="2:5" ht="21" x14ac:dyDescent="0.5">
      <c r="B38" s="2" t="s">
        <v>31</v>
      </c>
      <c r="C38" s="75">
        <v>64.91</v>
      </c>
      <c r="D38" s="75">
        <v>200.28</v>
      </c>
      <c r="E38" s="135">
        <v>29.77</v>
      </c>
    </row>
    <row r="39" spans="2:5" ht="21" x14ac:dyDescent="0.5">
      <c r="B39" s="7" t="s">
        <v>132</v>
      </c>
      <c r="C39" s="133">
        <v>36.130000000000003</v>
      </c>
      <c r="D39" s="75">
        <v>14.99</v>
      </c>
      <c r="E39" s="135">
        <v>15.25</v>
      </c>
    </row>
    <row r="40" spans="2:5" ht="21" x14ac:dyDescent="0.5">
      <c r="B40" s="2" t="s">
        <v>133</v>
      </c>
      <c r="C40" s="75">
        <v>7.62</v>
      </c>
      <c r="D40" s="75">
        <v>7.97</v>
      </c>
      <c r="E40" s="135">
        <v>11.6</v>
      </c>
    </row>
    <row r="41" spans="2:5" ht="21" x14ac:dyDescent="0.5">
      <c r="B41" s="7" t="s">
        <v>32</v>
      </c>
      <c r="C41" s="133"/>
      <c r="D41" s="75"/>
      <c r="E41" s="75"/>
    </row>
    <row r="42" spans="2:5" ht="21" x14ac:dyDescent="0.5">
      <c r="B42" s="7" t="s">
        <v>33</v>
      </c>
      <c r="C42" s="133">
        <v>1050.97</v>
      </c>
      <c r="D42" s="133">
        <v>450.65</v>
      </c>
      <c r="E42" s="75">
        <v>514.17999999999995</v>
      </c>
    </row>
    <row r="43" spans="2:5" ht="21" x14ac:dyDescent="0.5">
      <c r="B43" s="7" t="s">
        <v>34</v>
      </c>
      <c r="C43" s="133">
        <v>15.55</v>
      </c>
      <c r="D43" s="133">
        <v>86.74</v>
      </c>
      <c r="E43" s="75">
        <v>116.52</v>
      </c>
    </row>
    <row r="44" spans="2:5" ht="21" x14ac:dyDescent="0.5">
      <c r="B44" s="7" t="s">
        <v>35</v>
      </c>
      <c r="C44" s="133">
        <v>1</v>
      </c>
      <c r="D44" s="133">
        <v>0</v>
      </c>
      <c r="E44" s="75">
        <v>12.12</v>
      </c>
    </row>
    <row r="45" spans="2:5" ht="21" x14ac:dyDescent="0.5">
      <c r="B45" s="2" t="s">
        <v>3</v>
      </c>
      <c r="C45" s="75">
        <v>0</v>
      </c>
      <c r="D45" s="75">
        <v>8.68</v>
      </c>
      <c r="E45" s="135">
        <v>6.43</v>
      </c>
    </row>
    <row r="46" spans="2:5" ht="21" x14ac:dyDescent="0.5">
      <c r="B46" s="7" t="s">
        <v>134</v>
      </c>
      <c r="C46" s="75">
        <v>29.52</v>
      </c>
      <c r="D46" s="75">
        <v>14.07</v>
      </c>
      <c r="E46" s="135">
        <v>16.579999999999998</v>
      </c>
    </row>
    <row r="47" spans="2:5" ht="21" x14ac:dyDescent="0.5">
      <c r="B47" s="2" t="s">
        <v>4</v>
      </c>
      <c r="C47" s="75">
        <v>93.15</v>
      </c>
      <c r="D47" s="75">
        <v>68.09</v>
      </c>
      <c r="E47" s="135">
        <v>156.34</v>
      </c>
    </row>
    <row r="48" spans="2:5" ht="21" x14ac:dyDescent="0.5">
      <c r="B48" s="7" t="s">
        <v>2</v>
      </c>
      <c r="C48" s="75">
        <f>SUM(C37:C47)</f>
        <v>2582.7000000000003</v>
      </c>
      <c r="D48" s="75">
        <f>SUM(D37:D47)</f>
        <v>1859.7799999999997</v>
      </c>
      <c r="E48" s="75">
        <f>SUM(E37:E47)</f>
        <v>1691.2599999999998</v>
      </c>
    </row>
    <row r="49" spans="2:5" ht="21" x14ac:dyDescent="0.5">
      <c r="B49" s="6" t="s">
        <v>36</v>
      </c>
      <c r="C49" s="134"/>
      <c r="D49" s="135"/>
      <c r="E49" s="75"/>
    </row>
    <row r="50" spans="2:5" ht="21" x14ac:dyDescent="0.5">
      <c r="B50" s="2" t="s">
        <v>37</v>
      </c>
      <c r="C50" s="75">
        <v>718.89</v>
      </c>
      <c r="D50" s="75">
        <v>594.58000000000004</v>
      </c>
      <c r="E50" s="135">
        <v>602.61</v>
      </c>
    </row>
    <row r="51" spans="2:5" ht="21" x14ac:dyDescent="0.5">
      <c r="B51" s="2" t="s">
        <v>32</v>
      </c>
      <c r="C51" s="75"/>
      <c r="D51" s="75"/>
      <c r="E51" s="135"/>
    </row>
    <row r="52" spans="2:5" ht="21" x14ac:dyDescent="0.5">
      <c r="B52" s="2" t="s">
        <v>147</v>
      </c>
      <c r="C52" s="75">
        <v>594.70000000000005</v>
      </c>
      <c r="D52" s="75">
        <v>735.48</v>
      </c>
      <c r="E52" s="135">
        <v>85.73</v>
      </c>
    </row>
    <row r="53" spans="2:5" ht="21" x14ac:dyDescent="0.5">
      <c r="B53" s="2" t="s">
        <v>148</v>
      </c>
      <c r="C53" s="75">
        <v>350.96</v>
      </c>
      <c r="D53" s="75">
        <v>230.32</v>
      </c>
      <c r="E53" s="135">
        <v>126.41</v>
      </c>
    </row>
    <row r="54" spans="2:5" ht="21" x14ac:dyDescent="0.5">
      <c r="B54" s="2" t="s">
        <v>149</v>
      </c>
      <c r="C54" s="75">
        <v>24.73</v>
      </c>
      <c r="D54" s="75">
        <v>88.91</v>
      </c>
      <c r="E54" s="135">
        <v>21.23</v>
      </c>
    </row>
    <row r="55" spans="2:5" ht="21" x14ac:dyDescent="0.5">
      <c r="B55" s="2" t="s">
        <v>150</v>
      </c>
      <c r="C55" s="75">
        <v>15.75</v>
      </c>
      <c r="D55" s="75">
        <v>8.34</v>
      </c>
      <c r="E55" s="135">
        <v>32.32</v>
      </c>
    </row>
    <row r="56" spans="2:5" ht="21" x14ac:dyDescent="0.5">
      <c r="B56" s="2" t="s">
        <v>151</v>
      </c>
      <c r="C56" s="75">
        <v>1121.4100000000001</v>
      </c>
      <c r="D56" s="75">
        <v>820.41</v>
      </c>
      <c r="E56" s="135">
        <v>791.94</v>
      </c>
    </row>
    <row r="57" spans="2:5" ht="21" x14ac:dyDescent="0.5">
      <c r="B57" s="2" t="s">
        <v>35</v>
      </c>
      <c r="C57" s="75">
        <v>119.54</v>
      </c>
      <c r="D57" s="75">
        <v>98.51</v>
      </c>
      <c r="E57" s="135">
        <v>78.28</v>
      </c>
    </row>
    <row r="58" spans="2:5" ht="21" x14ac:dyDescent="0.5">
      <c r="B58" s="2" t="s">
        <v>38</v>
      </c>
      <c r="C58" s="75">
        <v>124.29</v>
      </c>
      <c r="D58" s="75">
        <v>190.97</v>
      </c>
      <c r="E58" s="135">
        <v>266.36</v>
      </c>
    </row>
    <row r="59" spans="2:5" ht="21" x14ac:dyDescent="0.5">
      <c r="B59" s="7" t="s">
        <v>135</v>
      </c>
      <c r="C59" s="75">
        <f>SUM(C50:C58)</f>
        <v>3070.2700000000004</v>
      </c>
      <c r="D59" s="75">
        <f>SUM(D50:D58)</f>
        <v>2767.52</v>
      </c>
      <c r="E59" s="75">
        <f>SUM(E50:E58)</f>
        <v>2004.88</v>
      </c>
    </row>
    <row r="60" spans="2:5" ht="21.5" thickBot="1" x14ac:dyDescent="0.55000000000000004">
      <c r="B60" s="6" t="s">
        <v>136</v>
      </c>
      <c r="C60" s="137">
        <f>C48+C59</f>
        <v>5652.9700000000012</v>
      </c>
      <c r="D60" s="137">
        <f>D48+D59</f>
        <v>4627.2999999999993</v>
      </c>
      <c r="E60" s="137">
        <f>E48+E59</f>
        <v>3696.14</v>
      </c>
    </row>
    <row r="62" spans="2:5" x14ac:dyDescent="0.35">
      <c r="C62" s="131">
        <f>C33-C60</f>
        <v>0</v>
      </c>
      <c r="D62" s="131">
        <f>D33-D60</f>
        <v>0</v>
      </c>
      <c r="E62" s="131">
        <f>E33-E60</f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82B5A-937C-4C7E-83AE-4A859D3E95F3}">
  <dimension ref="B1:G87"/>
  <sheetViews>
    <sheetView topLeftCell="A9" zoomScale="65" zoomScaleNormal="65" workbookViewId="0">
      <selection activeCell="I16" sqref="I16"/>
    </sheetView>
  </sheetViews>
  <sheetFormatPr defaultRowHeight="14.5" x14ac:dyDescent="0.35"/>
  <cols>
    <col min="2" max="2" width="49.7265625" customWidth="1"/>
    <col min="3" max="3" width="19.7265625" customWidth="1"/>
    <col min="4" max="4" width="21.26953125" customWidth="1"/>
    <col min="11" max="11" width="44.81640625" customWidth="1"/>
  </cols>
  <sheetData>
    <row r="1" spans="2:5" ht="18.5" x14ac:dyDescent="0.45">
      <c r="B1" s="21" t="s">
        <v>12</v>
      </c>
    </row>
    <row r="2" spans="2:5" ht="18.5" x14ac:dyDescent="0.45">
      <c r="B2" s="9"/>
      <c r="C2" s="10" t="s">
        <v>5</v>
      </c>
      <c r="D2" s="10" t="s">
        <v>5</v>
      </c>
    </row>
    <row r="3" spans="2:5" ht="21" x14ac:dyDescent="0.5">
      <c r="B3" s="11"/>
      <c r="C3" s="10" t="s">
        <v>129</v>
      </c>
      <c r="D3" s="10" t="s">
        <v>128</v>
      </c>
    </row>
    <row r="4" spans="2:5" ht="21" x14ac:dyDescent="0.5">
      <c r="B4" s="11"/>
      <c r="C4" s="12" t="s">
        <v>1</v>
      </c>
      <c r="D4" s="12" t="s">
        <v>1</v>
      </c>
    </row>
    <row r="5" spans="2:5" ht="21" x14ac:dyDescent="0.5">
      <c r="B5" s="23" t="s">
        <v>39</v>
      </c>
      <c r="C5" s="12"/>
      <c r="D5" s="12"/>
    </row>
    <row r="6" spans="2:5" ht="21" x14ac:dyDescent="0.5">
      <c r="B6" s="11" t="s">
        <v>130</v>
      </c>
      <c r="C6" s="12">
        <v>10389.49</v>
      </c>
      <c r="D6" s="12">
        <v>9282.0400000000009</v>
      </c>
    </row>
    <row r="7" spans="2:5" ht="21" x14ac:dyDescent="0.5">
      <c r="B7" s="11" t="s">
        <v>131</v>
      </c>
      <c r="C7" s="12">
        <v>92.96</v>
      </c>
      <c r="D7" s="12">
        <v>98.13</v>
      </c>
    </row>
    <row r="8" spans="2:5" ht="21" x14ac:dyDescent="0.5">
      <c r="B8" s="16" t="s">
        <v>41</v>
      </c>
      <c r="C8" s="12">
        <f>C6+C7</f>
        <v>10482.449999999999</v>
      </c>
      <c r="D8" s="12">
        <f>D6+D7</f>
        <v>9380.17</v>
      </c>
      <c r="E8" s="24"/>
    </row>
    <row r="9" spans="2:5" ht="21" x14ac:dyDescent="0.5">
      <c r="B9" s="16" t="s">
        <v>40</v>
      </c>
      <c r="C9" s="12">
        <v>190.52</v>
      </c>
      <c r="D9" s="20">
        <v>155.93</v>
      </c>
      <c r="E9" s="15"/>
    </row>
    <row r="10" spans="2:5" ht="21" x14ac:dyDescent="0.5">
      <c r="B10" s="13" t="s">
        <v>42</v>
      </c>
      <c r="C10" s="138">
        <f>SUM(C8:C9)</f>
        <v>10672.97</v>
      </c>
      <c r="D10" s="138">
        <f>SUM(D8:D9)</f>
        <v>9536.1</v>
      </c>
    </row>
    <row r="11" spans="2:5" ht="21" x14ac:dyDescent="0.5">
      <c r="B11" s="13" t="s">
        <v>43</v>
      </c>
      <c r="C11" s="20"/>
      <c r="D11" s="10"/>
    </row>
    <row r="12" spans="2:5" ht="21" x14ac:dyDescent="0.5">
      <c r="B12" s="16" t="s">
        <v>44</v>
      </c>
      <c r="C12" s="12">
        <v>4944.7700000000004</v>
      </c>
      <c r="D12" s="20">
        <v>4405.17</v>
      </c>
    </row>
    <row r="13" spans="2:5" ht="21" x14ac:dyDescent="0.5">
      <c r="B13" s="16" t="s">
        <v>47</v>
      </c>
      <c r="C13" s="12">
        <v>0</v>
      </c>
      <c r="D13" s="20">
        <v>76.11</v>
      </c>
    </row>
    <row r="14" spans="2:5" ht="21" x14ac:dyDescent="0.5">
      <c r="B14" s="16" t="s">
        <v>45</v>
      </c>
      <c r="C14" s="12">
        <v>1381.88</v>
      </c>
      <c r="D14" s="20">
        <v>1372.46</v>
      </c>
    </row>
    <row r="15" spans="2:5" ht="63" x14ac:dyDescent="0.5">
      <c r="B15" s="17" t="s">
        <v>46</v>
      </c>
      <c r="C15" s="139">
        <v>-49.02</v>
      </c>
      <c r="D15" s="20">
        <v>-4.18</v>
      </c>
    </row>
    <row r="16" spans="2:5" ht="21" x14ac:dyDescent="0.5">
      <c r="B16" s="16" t="s">
        <v>48</v>
      </c>
      <c r="C16" s="12">
        <v>321.64</v>
      </c>
      <c r="D16" s="20">
        <v>294.87</v>
      </c>
    </row>
    <row r="17" spans="2:7" ht="21" x14ac:dyDescent="0.5">
      <c r="B17" s="16" t="s">
        <v>51</v>
      </c>
      <c r="C17" s="12">
        <v>1.54</v>
      </c>
      <c r="D17" s="20">
        <v>1.45</v>
      </c>
    </row>
    <row r="18" spans="2:7" ht="21" x14ac:dyDescent="0.5">
      <c r="B18" s="16" t="s">
        <v>49</v>
      </c>
      <c r="C18" s="12">
        <v>135</v>
      </c>
      <c r="D18" s="20">
        <v>119.76</v>
      </c>
    </row>
    <row r="19" spans="2:7" ht="21" x14ac:dyDescent="0.5">
      <c r="B19" s="16" t="s">
        <v>50</v>
      </c>
      <c r="C19" s="12">
        <v>2221.0500000000002</v>
      </c>
      <c r="D19" s="20">
        <v>1825.26</v>
      </c>
    </row>
    <row r="20" spans="2:7" ht="21" x14ac:dyDescent="0.5">
      <c r="B20" s="16" t="s">
        <v>6</v>
      </c>
      <c r="C20" s="140">
        <f>SUM(C12:C19)</f>
        <v>8956.86</v>
      </c>
      <c r="D20" s="140">
        <f>SUM(D12:D19)</f>
        <v>8090.9</v>
      </c>
    </row>
    <row r="21" spans="2:7" ht="21" x14ac:dyDescent="0.5">
      <c r="B21" s="16"/>
      <c r="C21" s="20"/>
      <c r="D21" s="18"/>
    </row>
    <row r="22" spans="2:7" ht="21" x14ac:dyDescent="0.5">
      <c r="B22" s="16" t="s">
        <v>7</v>
      </c>
      <c r="C22" s="141">
        <f>C10-C20</f>
        <v>1716.1099999999988</v>
      </c>
      <c r="D22" s="141">
        <f>D10-D20</f>
        <v>1445.2000000000007</v>
      </c>
    </row>
    <row r="23" spans="2:7" ht="21" x14ac:dyDescent="0.5">
      <c r="B23" s="16" t="s">
        <v>8</v>
      </c>
      <c r="C23" s="12">
        <v>0</v>
      </c>
      <c r="D23" s="18">
        <v>0</v>
      </c>
    </row>
    <row r="24" spans="2:7" ht="21" x14ac:dyDescent="0.5">
      <c r="B24" s="13" t="s">
        <v>52</v>
      </c>
      <c r="C24" s="140">
        <f>C22+C23</f>
        <v>1716.1099999999988</v>
      </c>
      <c r="D24" s="140">
        <f>D22+D23</f>
        <v>1445.2000000000007</v>
      </c>
    </row>
    <row r="25" spans="2:7" ht="21" x14ac:dyDescent="0.5">
      <c r="B25" s="13" t="s">
        <v>53</v>
      </c>
      <c r="C25" s="74"/>
      <c r="D25" s="18"/>
    </row>
    <row r="26" spans="2:7" ht="21" x14ac:dyDescent="0.5">
      <c r="B26" s="16" t="s">
        <v>9</v>
      </c>
      <c r="C26" s="12">
        <v>581.36</v>
      </c>
      <c r="D26" s="74">
        <v>499.56</v>
      </c>
      <c r="G26">
        <f>C26/C24</f>
        <v>0.33876616300819901</v>
      </c>
    </row>
    <row r="27" spans="2:7" ht="21" x14ac:dyDescent="0.5">
      <c r="B27" s="16" t="s">
        <v>10</v>
      </c>
      <c r="C27" s="12">
        <v>12.55</v>
      </c>
      <c r="D27" s="74">
        <v>-2.25</v>
      </c>
    </row>
    <row r="28" spans="2:7" ht="21" x14ac:dyDescent="0.5">
      <c r="B28" s="16" t="s">
        <v>11</v>
      </c>
      <c r="C28" s="10">
        <f>C26+C27</f>
        <v>593.91</v>
      </c>
      <c r="D28" s="10">
        <f>D26+D27</f>
        <v>497.31</v>
      </c>
    </row>
    <row r="29" spans="2:7" ht="18.5" x14ac:dyDescent="0.45">
      <c r="B29" s="19"/>
      <c r="C29" s="74"/>
      <c r="D29" s="142"/>
    </row>
    <row r="30" spans="2:7" ht="21" x14ac:dyDescent="0.5">
      <c r="B30" s="13" t="s">
        <v>54</v>
      </c>
      <c r="C30" s="143">
        <f>C24-C28</f>
        <v>1122.1999999999989</v>
      </c>
      <c r="D30" s="143">
        <f>D24-D28</f>
        <v>947.89000000000078</v>
      </c>
    </row>
    <row r="31" spans="2:7" ht="21" hidden="1" x14ac:dyDescent="0.5">
      <c r="B31" s="16" t="s">
        <v>185</v>
      </c>
      <c r="C31" s="20"/>
      <c r="D31" s="20"/>
    </row>
    <row r="32" spans="2:7" ht="21" hidden="1" x14ac:dyDescent="0.5">
      <c r="B32" s="16" t="s">
        <v>156</v>
      </c>
      <c r="C32" s="70">
        <f>C30/C8</f>
        <v>0.10705512547162152</v>
      </c>
      <c r="D32" s="70">
        <f>D30/D8</f>
        <v>0.10105253955951767</v>
      </c>
    </row>
    <row r="33" spans="2:7" ht="21" hidden="1" x14ac:dyDescent="0.5">
      <c r="B33" s="16"/>
      <c r="C33" s="10"/>
      <c r="D33" s="10"/>
      <c r="E33" s="66"/>
      <c r="G33" s="67"/>
    </row>
    <row r="34" spans="2:7" ht="18.5" hidden="1" x14ac:dyDescent="0.45">
      <c r="B34" s="14" t="s">
        <v>157</v>
      </c>
      <c r="C34" s="8">
        <f>('Balance Sheet'!C60+'Balance Sheet'!D60)/2</f>
        <v>5140.1350000000002</v>
      </c>
      <c r="D34" s="8">
        <f>('Balance Sheet'!D60+'Balance Sheet'!E60)/2</f>
        <v>4161.7199999999993</v>
      </c>
      <c r="E34" s="8"/>
      <c r="G34" s="67"/>
    </row>
    <row r="35" spans="2:7" ht="18.5" hidden="1" x14ac:dyDescent="0.45">
      <c r="B35" s="14"/>
      <c r="C35" s="8"/>
      <c r="D35" s="8"/>
      <c r="E35" s="8"/>
      <c r="G35" s="67"/>
    </row>
    <row r="36" spans="2:7" ht="18.5" hidden="1" x14ac:dyDescent="0.45">
      <c r="B36" s="14" t="s">
        <v>158</v>
      </c>
      <c r="C36" s="70">
        <f>C30/C34</f>
        <v>0.21832111413416164</v>
      </c>
      <c r="D36" s="70">
        <f>D30/D34</f>
        <v>0.22776400142248901</v>
      </c>
      <c r="E36" s="8"/>
    </row>
    <row r="37" spans="2:7" ht="18.5" hidden="1" x14ac:dyDescent="0.45">
      <c r="B37" s="14"/>
      <c r="C37" s="8"/>
      <c r="D37" s="8"/>
      <c r="E37" s="8"/>
    </row>
    <row r="38" spans="2:7" ht="18.5" hidden="1" x14ac:dyDescent="0.45">
      <c r="B38" s="14" t="s">
        <v>159</v>
      </c>
      <c r="C38" s="8">
        <f>C8/C34</f>
        <v>2.0393335972693323</v>
      </c>
      <c r="D38" s="8">
        <f>D8/D34</f>
        <v>2.2539166498466985</v>
      </c>
      <c r="E38" s="8" t="s">
        <v>108</v>
      </c>
    </row>
    <row r="39" spans="2:7" ht="18.5" hidden="1" x14ac:dyDescent="0.45">
      <c r="B39" s="14"/>
      <c r="C39" s="8"/>
      <c r="D39" s="8"/>
      <c r="E39" s="8"/>
    </row>
    <row r="40" spans="2:7" ht="18.5" hidden="1" x14ac:dyDescent="0.45">
      <c r="B40" s="14" t="s">
        <v>160</v>
      </c>
      <c r="C40" s="14">
        <f>('Balance Sheet'!C11+'Balance Sheet'!D11)/2</f>
        <v>3637.3650000000002</v>
      </c>
      <c r="D40" s="14">
        <f>('Balance Sheet'!D11+'Balance Sheet'!E11)/2</f>
        <v>2908.63</v>
      </c>
      <c r="E40" s="20"/>
    </row>
    <row r="41" spans="2:7" ht="18.5" hidden="1" x14ac:dyDescent="0.45">
      <c r="B41" s="14"/>
      <c r="C41" s="14"/>
      <c r="D41" s="14"/>
      <c r="E41" s="14"/>
    </row>
    <row r="42" spans="2:7" ht="18.5" hidden="1" x14ac:dyDescent="0.45">
      <c r="B42" s="14" t="s">
        <v>161</v>
      </c>
      <c r="C42" s="70">
        <f>C30/C40</f>
        <v>0.30852004129362842</v>
      </c>
      <c r="D42" s="70">
        <f>D30/D40</f>
        <v>0.32588882050999979</v>
      </c>
      <c r="E42" s="8"/>
    </row>
    <row r="43" spans="2:7" ht="18.5" hidden="1" x14ac:dyDescent="0.45">
      <c r="B43" s="14"/>
      <c r="C43" s="8"/>
      <c r="D43" s="8"/>
      <c r="E43" s="8"/>
    </row>
    <row r="44" spans="2:7" ht="18.5" hidden="1" x14ac:dyDescent="0.45">
      <c r="B44" s="14" t="s">
        <v>103</v>
      </c>
      <c r="C44" s="14">
        <f>C34/C40</f>
        <v>1.4131479793751796</v>
      </c>
      <c r="D44" s="14">
        <f>D34/D40</f>
        <v>1.4308179452181953</v>
      </c>
      <c r="E44" s="20" t="s">
        <v>108</v>
      </c>
    </row>
    <row r="45" spans="2:7" ht="18.5" hidden="1" x14ac:dyDescent="0.45">
      <c r="C45" s="20"/>
      <c r="D45" s="20"/>
      <c r="E45" s="20"/>
    </row>
    <row r="46" spans="2:7" ht="18.5" hidden="1" x14ac:dyDescent="0.45">
      <c r="B46" t="s">
        <v>162</v>
      </c>
      <c r="C46" s="8">
        <f>'Balance Sheet'!C59/'Balance Sheet'!C31</f>
        <v>1.9403106751940145</v>
      </c>
      <c r="D46" s="8">
        <f>'Balance Sheet'!D59/'Balance Sheet'!D31</f>
        <v>2.025958434295001</v>
      </c>
      <c r="E46" s="8"/>
    </row>
    <row r="47" spans="2:7" ht="18.5" hidden="1" x14ac:dyDescent="0.45">
      <c r="B47" s="14"/>
      <c r="C47" s="20"/>
      <c r="D47" s="20"/>
      <c r="E47" s="20"/>
    </row>
    <row r="48" spans="2:7" ht="18.5" hidden="1" x14ac:dyDescent="0.45">
      <c r="B48" s="14" t="s">
        <v>163</v>
      </c>
      <c r="C48" s="8">
        <f>'Balance Sheet'!C59-'Balance Sheet'!C50</f>
        <v>2351.3800000000006</v>
      </c>
      <c r="D48" s="8">
        <f>'Balance Sheet'!D59-'Balance Sheet'!D50</f>
        <v>2172.94</v>
      </c>
      <c r="E48" s="20"/>
    </row>
    <row r="49" spans="2:5" hidden="1" x14ac:dyDescent="0.35">
      <c r="D49" s="69"/>
      <c r="E49" s="67"/>
    </row>
    <row r="50" spans="2:5" ht="18.5" hidden="1" x14ac:dyDescent="0.45">
      <c r="B50" s="14" t="s">
        <v>164</v>
      </c>
      <c r="C50" s="14">
        <f>C48/'Balance Sheet'!C31</f>
        <v>1.4859956015066109</v>
      </c>
      <c r="D50" s="14">
        <f>D48/'Balance Sheet'!D31</f>
        <v>1.5906971296384416</v>
      </c>
      <c r="E50" s="20"/>
    </row>
    <row r="51" spans="2:5" ht="18.5" hidden="1" x14ac:dyDescent="0.45">
      <c r="B51" s="14"/>
      <c r="C51" s="14"/>
      <c r="D51" s="68"/>
      <c r="E51" s="20"/>
    </row>
    <row r="52" spans="2:5" ht="18.5" hidden="1" x14ac:dyDescent="0.45">
      <c r="B52" s="14" t="s">
        <v>165</v>
      </c>
      <c r="C52" s="20">
        <f>('Balance Sheet'!C50+'Balance Sheet'!D50)/2</f>
        <v>656.73500000000001</v>
      </c>
      <c r="D52" s="20">
        <f>('Balance Sheet'!D50+'Balance Sheet'!E50)/2</f>
        <v>598.59500000000003</v>
      </c>
      <c r="E52" s="20"/>
    </row>
    <row r="53" spans="2:5" ht="18.5" hidden="1" x14ac:dyDescent="0.45">
      <c r="B53" s="14"/>
      <c r="C53" s="8"/>
      <c r="D53" s="8"/>
      <c r="E53" s="8"/>
    </row>
    <row r="54" spans="2:5" ht="18.5" hidden="1" x14ac:dyDescent="0.45">
      <c r="B54" s="14" t="s">
        <v>166</v>
      </c>
      <c r="C54" s="8">
        <f>('Balance Sheet'!C53+'Balance Sheet'!D53)/2</f>
        <v>290.64</v>
      </c>
      <c r="D54" s="8">
        <f>('Balance Sheet'!D53+'Balance Sheet'!E53)/2</f>
        <v>178.36500000000001</v>
      </c>
      <c r="E54" s="8"/>
    </row>
    <row r="55" spans="2:5" ht="18.5" hidden="1" x14ac:dyDescent="0.45">
      <c r="B55" s="14"/>
      <c r="C55" s="8"/>
      <c r="D55" s="8"/>
      <c r="E55" s="8"/>
    </row>
    <row r="56" spans="2:5" ht="18.5" hidden="1" x14ac:dyDescent="0.45">
      <c r="B56" s="14" t="s">
        <v>167</v>
      </c>
      <c r="C56" s="20">
        <f>C8/C52</f>
        <v>15.961460863209664</v>
      </c>
      <c r="D56" s="20">
        <f>D8/D52</f>
        <v>15.670311312323022</v>
      </c>
      <c r="E56" s="20" t="s">
        <v>108</v>
      </c>
    </row>
    <row r="57" spans="2:5" ht="18.5" hidden="1" x14ac:dyDescent="0.45">
      <c r="B57" s="14"/>
      <c r="C57" s="14"/>
      <c r="D57" s="68"/>
      <c r="E57" s="20"/>
    </row>
    <row r="58" spans="2:5" ht="18.5" hidden="1" x14ac:dyDescent="0.45">
      <c r="B58" s="14" t="s">
        <v>168</v>
      </c>
      <c r="C58" s="152">
        <f>C8/C54</f>
        <v>36.066783649876136</v>
      </c>
      <c r="D58" s="152">
        <f>D8/D54</f>
        <v>52.589745746082471</v>
      </c>
      <c r="E58" s="70" t="s">
        <v>108</v>
      </c>
    </row>
    <row r="59" spans="2:5" ht="18.5" hidden="1" x14ac:dyDescent="0.45">
      <c r="B59" s="14"/>
      <c r="C59" s="70"/>
      <c r="D59" s="70"/>
      <c r="E59" s="70"/>
    </row>
    <row r="60" spans="2:5" ht="18.5" hidden="1" x14ac:dyDescent="0.45">
      <c r="B60" s="14" t="s">
        <v>169</v>
      </c>
      <c r="C60" s="69">
        <f>365/C56</f>
        <v>22.867581052139531</v>
      </c>
      <c r="D60" s="69">
        <f>365/D56</f>
        <v>23.292453654891116</v>
      </c>
      <c r="E60" s="67" t="s">
        <v>173</v>
      </c>
    </row>
    <row r="61" spans="2:5" ht="18.5" hidden="1" x14ac:dyDescent="0.45">
      <c r="B61" s="14"/>
      <c r="C61" s="14"/>
      <c r="D61" s="14"/>
      <c r="E61" s="8"/>
    </row>
    <row r="62" spans="2:5" ht="18.5" hidden="1" x14ac:dyDescent="0.45">
      <c r="B62" s="14" t="s">
        <v>170</v>
      </c>
      <c r="C62" s="14">
        <f>365/C58</f>
        <v>10.120115049439777</v>
      </c>
      <c r="D62" s="14">
        <f>365/D58</f>
        <v>6.9405165364806818</v>
      </c>
      <c r="E62" s="8" t="s">
        <v>173</v>
      </c>
    </row>
    <row r="63" spans="2:5" ht="18.5" hidden="1" x14ac:dyDescent="0.45">
      <c r="B63" s="14"/>
      <c r="E63" s="8"/>
    </row>
    <row r="64" spans="2:5" ht="18.5" hidden="1" x14ac:dyDescent="0.45">
      <c r="B64" s="14" t="s">
        <v>171</v>
      </c>
      <c r="C64" s="154">
        <f>C60+C62</f>
        <v>32.98769610157931</v>
      </c>
      <c r="D64" s="154">
        <f>D60+D62</f>
        <v>30.232970191371798</v>
      </c>
      <c r="E64" s="8"/>
    </row>
    <row r="65" spans="2:7" ht="18.5" hidden="1" x14ac:dyDescent="0.45">
      <c r="E65" s="8"/>
    </row>
    <row r="66" spans="2:7" ht="18.5" hidden="1" x14ac:dyDescent="0.45">
      <c r="B66" s="14" t="s">
        <v>172</v>
      </c>
      <c r="C66" s="156">
        <f>('Balance Sheet'!C15+'Balance Sheet'!C22)/'Balance Sheet'!C11</f>
        <v>6.4365198232432637E-5</v>
      </c>
      <c r="D66" s="155">
        <f>('Balance Sheet'!D15+'Balance Sheet'!D22)/'Balance Sheet'!D11</f>
        <v>2.8776489206498355E-3</v>
      </c>
      <c r="E66" s="67"/>
    </row>
    <row r="67" spans="2:7" ht="18.5" hidden="1" x14ac:dyDescent="0.45">
      <c r="B67" s="14"/>
      <c r="C67" s="131"/>
      <c r="D67" s="131"/>
      <c r="E67" s="70"/>
    </row>
    <row r="68" spans="2:7" ht="18.5" hidden="1" x14ac:dyDescent="0.45">
      <c r="B68" s="14" t="s">
        <v>106</v>
      </c>
      <c r="C68" s="154">
        <f>(C24+C17)/C17</f>
        <v>1115.357142857142</v>
      </c>
      <c r="D68" s="154">
        <f>(D24+D17)/D17</f>
        <v>997.6896551724144</v>
      </c>
      <c r="E68" s="70" t="s">
        <v>108</v>
      </c>
    </row>
    <row r="69" spans="2:7" ht="18.5" hidden="1" x14ac:dyDescent="0.45">
      <c r="E69" s="14"/>
    </row>
    <row r="70" spans="2:7" ht="18.5" hidden="1" x14ac:dyDescent="0.45">
      <c r="B70" t="s">
        <v>174</v>
      </c>
      <c r="E70" s="8"/>
    </row>
    <row r="71" spans="2:7" ht="18.5" hidden="1" x14ac:dyDescent="0.45">
      <c r="E71" s="8"/>
    </row>
    <row r="72" spans="2:7" hidden="1" x14ac:dyDescent="0.35">
      <c r="B72" t="s">
        <v>175</v>
      </c>
      <c r="C72">
        <f>('Balance Sheet'!C19+'Balance Sheet'!C32)/'Balance Sheet'!C11</f>
        <v>0.40715443934198964</v>
      </c>
      <c r="D72">
        <f>('Balance Sheet'!D19+'Balance Sheet'!D32)/'Balance Sheet'!D11</f>
        <v>0.43829591256398198</v>
      </c>
      <c r="E72" s="67"/>
    </row>
    <row r="73" spans="2:7" ht="18.5" hidden="1" x14ac:dyDescent="0.45">
      <c r="B73" s="14"/>
      <c r="C73" s="14"/>
      <c r="D73" s="14"/>
      <c r="E73" s="67"/>
    </row>
    <row r="74" spans="2:7" ht="18.5" hidden="1" x14ac:dyDescent="0.45">
      <c r="B74" s="14" t="s">
        <v>176</v>
      </c>
      <c r="C74" s="22">
        <f>(2750+3081.9)/2</f>
        <v>2915.95</v>
      </c>
      <c r="D74" s="14"/>
      <c r="E74" s="72"/>
      <c r="F74" s="73"/>
      <c r="G74" s="71"/>
    </row>
    <row r="75" spans="2:7" ht="18.5" hidden="1" x14ac:dyDescent="0.45">
      <c r="B75" s="14"/>
      <c r="C75" s="14"/>
      <c r="D75" s="14"/>
      <c r="E75" s="72"/>
      <c r="F75" s="73"/>
      <c r="G75" s="71"/>
    </row>
    <row r="76" spans="2:7" ht="18.5" hidden="1" x14ac:dyDescent="0.45">
      <c r="B76" s="14" t="s">
        <v>177</v>
      </c>
      <c r="C76" s="155">
        <f>15/C74</f>
        <v>5.1441211269054685E-3</v>
      </c>
      <c r="D76" s="69"/>
      <c r="E76" s="67"/>
    </row>
    <row r="77" spans="2:7" ht="18.5" hidden="1" x14ac:dyDescent="0.45">
      <c r="B77" s="14"/>
      <c r="C77" s="70"/>
      <c r="D77" s="70"/>
    </row>
    <row r="78" spans="2:7" ht="18.5" hidden="1" x14ac:dyDescent="0.45">
      <c r="B78" s="14"/>
      <c r="C78" s="152">
        <f>(3081.95-2750)+15</f>
        <v>346.94999999999982</v>
      </c>
      <c r="D78" s="70"/>
    </row>
    <row r="79" spans="2:7" ht="18.5" hidden="1" x14ac:dyDescent="0.45">
      <c r="B79" s="14"/>
      <c r="C79" s="70">
        <f>C78/2750</f>
        <v>0.12616363636363631</v>
      </c>
      <c r="D79" s="70"/>
    </row>
    <row r="80" spans="2:7" ht="18.5" hidden="1" x14ac:dyDescent="0.45">
      <c r="B80" s="14"/>
      <c r="C80" s="8"/>
      <c r="D80" s="8"/>
    </row>
    <row r="81" spans="2:4" ht="18.5" hidden="1" x14ac:dyDescent="0.45">
      <c r="B81" s="14" t="s">
        <v>178</v>
      </c>
      <c r="C81" s="8">
        <v>4039.45</v>
      </c>
      <c r="D81" s="8"/>
    </row>
    <row r="82" spans="2:4" hidden="1" x14ac:dyDescent="0.35">
      <c r="B82" t="s">
        <v>179</v>
      </c>
      <c r="C82">
        <v>24.031829399999999</v>
      </c>
    </row>
    <row r="83" spans="2:4" hidden="1" x14ac:dyDescent="0.35">
      <c r="B83" t="s">
        <v>180</v>
      </c>
      <c r="C83">
        <f>C81/C82</f>
        <v>168.08749482883729</v>
      </c>
    </row>
    <row r="84" spans="2:4" hidden="1" x14ac:dyDescent="0.35"/>
    <row r="85" spans="2:4" hidden="1" x14ac:dyDescent="0.35">
      <c r="C85">
        <f>3081.95/C83</f>
        <v>18.335391357568479</v>
      </c>
    </row>
    <row r="86" spans="2:4" hidden="1" x14ac:dyDescent="0.35"/>
    <row r="87" spans="2:4" hidden="1" x14ac:dyDescent="0.35"/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EA0A7-3B52-4E90-8F30-3BCD80C6B2EE}">
  <dimension ref="B2:F62"/>
  <sheetViews>
    <sheetView topLeftCell="A33" zoomScale="84" zoomScaleNormal="84" workbookViewId="0">
      <selection activeCell="F25" sqref="F25"/>
    </sheetView>
  </sheetViews>
  <sheetFormatPr defaultRowHeight="14.5" x14ac:dyDescent="0.35"/>
  <cols>
    <col min="2" max="2" width="57.81640625" bestFit="1" customWidth="1"/>
    <col min="3" max="3" width="23.7265625" customWidth="1"/>
    <col min="4" max="4" width="21.81640625" customWidth="1"/>
    <col min="5" max="5" width="22.453125" customWidth="1"/>
    <col min="6" max="6" width="10.6328125" style="169" bestFit="1" customWidth="1"/>
  </cols>
  <sheetData>
    <row r="2" spans="2:6" ht="21" x14ac:dyDescent="0.5">
      <c r="B2" s="1" t="s">
        <v>154</v>
      </c>
      <c r="C2" s="1"/>
      <c r="D2" s="2"/>
      <c r="E2" s="3"/>
    </row>
    <row r="3" spans="2:6" ht="21" x14ac:dyDescent="0.5">
      <c r="B3" s="4"/>
      <c r="C3" s="4"/>
      <c r="D3" s="2"/>
      <c r="E3" s="3"/>
    </row>
    <row r="4" spans="2:6" ht="21" x14ac:dyDescent="0.5">
      <c r="B4" s="2"/>
      <c r="C4" s="5" t="s">
        <v>0</v>
      </c>
      <c r="D4" s="5" t="s">
        <v>0</v>
      </c>
      <c r="E4" s="5"/>
    </row>
    <row r="5" spans="2:6" ht="21" x14ac:dyDescent="0.5">
      <c r="B5" s="2"/>
      <c r="C5" s="2" t="s">
        <v>153</v>
      </c>
      <c r="D5" s="2" t="s">
        <v>127</v>
      </c>
      <c r="E5" s="2"/>
    </row>
    <row r="6" spans="2:6" ht="21" x14ac:dyDescent="0.5">
      <c r="B6" s="2"/>
      <c r="C6" s="5" t="s">
        <v>1</v>
      </c>
      <c r="D6" s="5" t="s">
        <v>1</v>
      </c>
      <c r="E6" s="5"/>
    </row>
    <row r="7" spans="2:6" ht="21" x14ac:dyDescent="0.5">
      <c r="B7" s="6" t="s">
        <v>15</v>
      </c>
      <c r="C7" s="6"/>
      <c r="D7" s="2"/>
      <c r="E7" s="2"/>
    </row>
    <row r="8" spans="2:6" ht="21" x14ac:dyDescent="0.5">
      <c r="B8" s="6" t="s">
        <v>13</v>
      </c>
      <c r="C8" s="6"/>
      <c r="D8" s="2"/>
      <c r="E8" s="2"/>
    </row>
    <row r="9" spans="2:6" ht="21" x14ac:dyDescent="0.5">
      <c r="B9" s="2" t="s">
        <v>137</v>
      </c>
      <c r="C9" s="75">
        <v>24.03</v>
      </c>
      <c r="D9" s="135">
        <v>24.01</v>
      </c>
      <c r="E9" s="75">
        <f>C9-D9</f>
        <v>1.9999999999999574E-2</v>
      </c>
      <c r="F9" s="175">
        <f>E9/D9</f>
        <v>8.3298625572676265E-4</v>
      </c>
    </row>
    <row r="10" spans="2:6" ht="21" x14ac:dyDescent="0.5">
      <c r="B10" s="2" t="s">
        <v>14</v>
      </c>
      <c r="C10" s="75">
        <v>4015.42</v>
      </c>
      <c r="D10" s="135">
        <v>3211.27</v>
      </c>
      <c r="E10" s="75">
        <f>C10-D10</f>
        <v>804.15000000000009</v>
      </c>
      <c r="F10" s="175">
        <f>E10/D10</f>
        <v>0.25041494486604993</v>
      </c>
    </row>
    <row r="11" spans="2:6" ht="21" x14ac:dyDescent="0.5">
      <c r="B11" s="7" t="s">
        <v>138</v>
      </c>
      <c r="C11" s="75">
        <f>SUM(C9:C10)</f>
        <v>4039.4500000000003</v>
      </c>
      <c r="D11" s="75">
        <f>SUM(D9:D10)</f>
        <v>3235.28</v>
      </c>
      <c r="E11" s="75">
        <f>C11-D11</f>
        <v>804.17000000000007</v>
      </c>
      <c r="F11" s="175">
        <f>E11/D11</f>
        <v>0.24856272100096438</v>
      </c>
    </row>
    <row r="12" spans="2:6" ht="21" x14ac:dyDescent="0.5">
      <c r="B12" s="6" t="s">
        <v>16</v>
      </c>
      <c r="C12" s="133"/>
      <c r="D12" s="75"/>
      <c r="E12" s="75"/>
      <c r="F12" s="176"/>
    </row>
    <row r="13" spans="2:6" ht="21" x14ac:dyDescent="0.5">
      <c r="B13" s="6" t="s">
        <v>17</v>
      </c>
      <c r="C13" s="134"/>
      <c r="D13" s="135"/>
      <c r="E13" s="75"/>
      <c r="F13" s="176"/>
    </row>
    <row r="14" spans="2:6" ht="21" x14ac:dyDescent="0.5">
      <c r="B14" s="7" t="s">
        <v>20</v>
      </c>
      <c r="C14" s="75"/>
      <c r="D14" s="75"/>
      <c r="E14" s="75"/>
      <c r="F14" s="176"/>
    </row>
    <row r="15" spans="2:6" ht="21" x14ac:dyDescent="0.5">
      <c r="B15" s="7" t="s">
        <v>140</v>
      </c>
      <c r="C15" s="75">
        <v>0.26</v>
      </c>
      <c r="D15" s="75">
        <v>0.3</v>
      </c>
      <c r="E15" s="75">
        <f>C15-D15</f>
        <v>-3.999999999999998E-2</v>
      </c>
      <c r="F15" s="177">
        <f>E15/D15</f>
        <v>-0.13333333333333328</v>
      </c>
    </row>
    <row r="16" spans="2:6" ht="21" x14ac:dyDescent="0.5">
      <c r="B16" s="6" t="s">
        <v>139</v>
      </c>
      <c r="C16" s="133">
        <v>27.03</v>
      </c>
      <c r="D16" s="133">
        <v>24.97</v>
      </c>
      <c r="E16" s="75">
        <f>C16-D16</f>
        <v>2.0600000000000023</v>
      </c>
      <c r="F16" s="177">
        <f>E16/D16</f>
        <v>8.2498998798558362E-2</v>
      </c>
    </row>
    <row r="17" spans="2:6" ht="21" x14ac:dyDescent="0.5">
      <c r="B17" s="2" t="s">
        <v>141</v>
      </c>
      <c r="C17" s="75">
        <v>3.87</v>
      </c>
      <c r="D17" s="133">
        <v>0</v>
      </c>
      <c r="E17" s="75">
        <f>C17-D17</f>
        <v>3.87</v>
      </c>
      <c r="F17" s="177"/>
    </row>
    <row r="18" spans="2:6" ht="21" x14ac:dyDescent="0.5">
      <c r="B18" s="2" t="s">
        <v>142</v>
      </c>
      <c r="C18" s="75">
        <v>0</v>
      </c>
      <c r="D18" s="75">
        <v>0.72</v>
      </c>
      <c r="E18" s="75">
        <f>C18-D18</f>
        <v>-0.72</v>
      </c>
      <c r="F18" s="177">
        <f>E18/D18</f>
        <v>-1</v>
      </c>
    </row>
    <row r="19" spans="2:6" ht="21" x14ac:dyDescent="0.5">
      <c r="B19" s="2" t="s">
        <v>143</v>
      </c>
      <c r="C19" s="75">
        <f>SUM(C15:C18)</f>
        <v>31.160000000000004</v>
      </c>
      <c r="D19" s="75">
        <f>SUM(D15:D18)</f>
        <v>25.99</v>
      </c>
      <c r="E19" s="75">
        <f>C19-D19</f>
        <v>5.1700000000000053</v>
      </c>
      <c r="F19" s="175">
        <f>E19/D19</f>
        <v>0.19892266256252425</v>
      </c>
    </row>
    <row r="20" spans="2:6" ht="21" x14ac:dyDescent="0.5">
      <c r="B20" s="6" t="s">
        <v>25</v>
      </c>
      <c r="C20" s="134"/>
      <c r="D20" s="135"/>
      <c r="E20" s="135"/>
      <c r="F20" s="176"/>
    </row>
    <row r="21" spans="2:6" ht="21" x14ac:dyDescent="0.5">
      <c r="B21" s="2" t="s">
        <v>20</v>
      </c>
      <c r="C21" s="75"/>
      <c r="D21" s="135"/>
      <c r="E21" s="75"/>
      <c r="F21" s="176"/>
    </row>
    <row r="22" spans="2:6" ht="21" x14ac:dyDescent="0.5">
      <c r="B22" s="2" t="s">
        <v>144</v>
      </c>
      <c r="C22" s="75">
        <v>0</v>
      </c>
      <c r="D22" s="135">
        <v>9.01</v>
      </c>
      <c r="E22" s="75">
        <f t="shared" ref="E22:E31" si="0">C22-D22</f>
        <v>-9.01</v>
      </c>
      <c r="F22" s="177">
        <f t="shared" ref="F22:F31" si="1">E22/D22</f>
        <v>-1</v>
      </c>
    </row>
    <row r="23" spans="2:6" ht="21" x14ac:dyDescent="0.5">
      <c r="B23" s="2" t="s">
        <v>21</v>
      </c>
      <c r="C23" s="75"/>
      <c r="D23" s="135"/>
      <c r="E23" s="75"/>
      <c r="F23" s="177"/>
    </row>
    <row r="24" spans="2:6" ht="21" x14ac:dyDescent="0.5">
      <c r="B24" s="2" t="s">
        <v>22</v>
      </c>
      <c r="C24" s="75">
        <v>1.78</v>
      </c>
      <c r="D24" s="75">
        <v>1.55</v>
      </c>
      <c r="E24" s="75">
        <f t="shared" si="0"/>
        <v>0.22999999999999998</v>
      </c>
      <c r="F24" s="177">
        <f t="shared" si="1"/>
        <v>0.14838709677419354</v>
      </c>
    </row>
    <row r="25" spans="2:6" ht="21" x14ac:dyDescent="0.5">
      <c r="B25" s="2" t="s">
        <v>23</v>
      </c>
      <c r="C25" s="75">
        <v>1030.76</v>
      </c>
      <c r="D25" s="75">
        <v>864.81</v>
      </c>
      <c r="E25" s="75">
        <f t="shared" si="0"/>
        <v>165.95000000000005</v>
      </c>
      <c r="F25" s="177">
        <f t="shared" si="1"/>
        <v>0.1918918606399094</v>
      </c>
    </row>
    <row r="26" spans="2:6" ht="21" x14ac:dyDescent="0.5">
      <c r="B26" s="6" t="s">
        <v>18</v>
      </c>
      <c r="C26" s="133">
        <v>205.17</v>
      </c>
      <c r="D26" s="75">
        <v>182.62</v>
      </c>
      <c r="E26" s="75">
        <f t="shared" si="0"/>
        <v>22.549999999999983</v>
      </c>
      <c r="F26" s="177">
        <f t="shared" si="1"/>
        <v>0.12348045121016309</v>
      </c>
    </row>
    <row r="27" spans="2:6" ht="21" x14ac:dyDescent="0.5">
      <c r="B27" s="2" t="s">
        <v>24</v>
      </c>
      <c r="C27" s="75">
        <v>84.83</v>
      </c>
      <c r="D27" s="75">
        <v>82.05</v>
      </c>
      <c r="E27" s="75">
        <f t="shared" si="0"/>
        <v>2.7800000000000011</v>
      </c>
      <c r="F27" s="177">
        <f t="shared" si="1"/>
        <v>3.388177940280318E-2</v>
      </c>
    </row>
    <row r="28" spans="2:6" ht="21" x14ac:dyDescent="0.5">
      <c r="B28" s="2" t="s">
        <v>142</v>
      </c>
      <c r="C28" s="75">
        <v>0.71</v>
      </c>
      <c r="D28" s="75">
        <v>0.71</v>
      </c>
      <c r="E28" s="75">
        <f t="shared" si="0"/>
        <v>0</v>
      </c>
      <c r="F28" s="177">
        <f t="shared" si="1"/>
        <v>0</v>
      </c>
    </row>
    <row r="29" spans="2:6" ht="21" x14ac:dyDescent="0.5">
      <c r="B29" s="2" t="s">
        <v>19</v>
      </c>
      <c r="C29" s="75">
        <v>188.52</v>
      </c>
      <c r="D29" s="75">
        <v>171.05</v>
      </c>
      <c r="E29" s="75">
        <f t="shared" si="0"/>
        <v>17.47</v>
      </c>
      <c r="F29" s="177">
        <f t="shared" si="1"/>
        <v>0.10213387898275357</v>
      </c>
    </row>
    <row r="30" spans="2:6" ht="21" x14ac:dyDescent="0.5">
      <c r="B30" s="2" t="s">
        <v>145</v>
      </c>
      <c r="C30" s="75">
        <v>70.59</v>
      </c>
      <c r="D30" s="75">
        <v>54.23</v>
      </c>
      <c r="E30" s="75">
        <f t="shared" si="0"/>
        <v>16.360000000000007</v>
      </c>
      <c r="F30" s="177">
        <f t="shared" si="1"/>
        <v>0.30167803798635456</v>
      </c>
    </row>
    <row r="31" spans="2:6" ht="21" x14ac:dyDescent="0.5">
      <c r="B31" s="7" t="s">
        <v>81</v>
      </c>
      <c r="C31" s="75">
        <f>SUM(C21:C30)</f>
        <v>1582.36</v>
      </c>
      <c r="D31" s="75">
        <f>SUM(D21:D30)</f>
        <v>1366.0299999999997</v>
      </c>
      <c r="E31" s="75">
        <f t="shared" si="0"/>
        <v>216.33000000000015</v>
      </c>
      <c r="F31" s="175">
        <f t="shared" si="1"/>
        <v>0.15836401835977262</v>
      </c>
    </row>
    <row r="32" spans="2:6" ht="21" x14ac:dyDescent="0.5">
      <c r="B32" s="7" t="s">
        <v>146</v>
      </c>
      <c r="C32" s="75">
        <f>C31+C19</f>
        <v>1613.52</v>
      </c>
      <c r="D32" s="75">
        <f>D31+D19</f>
        <v>1392.0199999999998</v>
      </c>
      <c r="E32" s="75">
        <f>C32-D32</f>
        <v>221.50000000000023</v>
      </c>
      <c r="F32" s="175">
        <f>E32/D32</f>
        <v>0.15912127699314685</v>
      </c>
    </row>
    <row r="33" spans="2:6" ht="21.5" thickBot="1" x14ac:dyDescent="0.55000000000000004">
      <c r="B33" s="6" t="s">
        <v>26</v>
      </c>
      <c r="C33" s="137">
        <f>C32+C11</f>
        <v>5652.97</v>
      </c>
      <c r="D33" s="137">
        <f>D32+D11</f>
        <v>4627.3</v>
      </c>
      <c r="E33" s="75">
        <f>C33-D33</f>
        <v>1025.67</v>
      </c>
      <c r="F33" s="175">
        <f>E33/D33</f>
        <v>0.22165625742873815</v>
      </c>
    </row>
    <row r="34" spans="2:6" ht="21" x14ac:dyDescent="0.5">
      <c r="B34" s="6"/>
      <c r="C34" s="134"/>
      <c r="D34" s="135"/>
      <c r="E34" s="135"/>
      <c r="F34" s="176"/>
    </row>
    <row r="35" spans="2:6" ht="21" x14ac:dyDescent="0.5">
      <c r="B35" s="6" t="s">
        <v>29</v>
      </c>
      <c r="C35" s="134"/>
      <c r="D35" s="135"/>
      <c r="E35" s="75"/>
      <c r="F35" s="176"/>
    </row>
    <row r="36" spans="2:6" ht="21" x14ac:dyDescent="0.5">
      <c r="B36" s="6" t="s">
        <v>28</v>
      </c>
      <c r="C36" s="134"/>
      <c r="D36" s="135"/>
      <c r="E36" s="75"/>
      <c r="F36" s="176"/>
    </row>
    <row r="37" spans="2:6" ht="21" x14ac:dyDescent="0.5">
      <c r="B37" s="2" t="s">
        <v>30</v>
      </c>
      <c r="C37" s="75">
        <v>1283.8499999999999</v>
      </c>
      <c r="D37" s="75">
        <v>1008.31</v>
      </c>
      <c r="E37" s="75">
        <f t="shared" ref="E37:E47" si="2">C37-D37</f>
        <v>275.53999999999996</v>
      </c>
      <c r="F37" s="177">
        <f t="shared" ref="F37:F47" si="3">E37/D37</f>
        <v>0.27326913350060988</v>
      </c>
    </row>
    <row r="38" spans="2:6" ht="21" x14ac:dyDescent="0.5">
      <c r="B38" s="2" t="s">
        <v>31</v>
      </c>
      <c r="C38" s="75">
        <v>64.91</v>
      </c>
      <c r="D38" s="75">
        <v>200.28</v>
      </c>
      <c r="E38" s="75">
        <f t="shared" si="2"/>
        <v>-135.37</v>
      </c>
      <c r="F38" s="177">
        <f t="shared" si="3"/>
        <v>-0.67590373477132015</v>
      </c>
    </row>
    <row r="39" spans="2:6" ht="21" x14ac:dyDescent="0.5">
      <c r="B39" s="7" t="s">
        <v>132</v>
      </c>
      <c r="C39" s="133">
        <v>36.130000000000003</v>
      </c>
      <c r="D39" s="75">
        <v>14.99</v>
      </c>
      <c r="E39" s="75">
        <f t="shared" si="2"/>
        <v>21.14</v>
      </c>
      <c r="F39" s="177">
        <f t="shared" si="3"/>
        <v>1.410273515677118</v>
      </c>
    </row>
    <row r="40" spans="2:6" ht="21" x14ac:dyDescent="0.5">
      <c r="B40" s="2" t="s">
        <v>133</v>
      </c>
      <c r="C40" s="75">
        <v>7.62</v>
      </c>
      <c r="D40" s="75">
        <v>7.97</v>
      </c>
      <c r="E40" s="75">
        <f t="shared" si="2"/>
        <v>-0.34999999999999964</v>
      </c>
      <c r="F40" s="177">
        <f t="shared" si="3"/>
        <v>-4.3914680050188164E-2</v>
      </c>
    </row>
    <row r="41" spans="2:6" ht="21" x14ac:dyDescent="0.5">
      <c r="B41" s="7" t="s">
        <v>32</v>
      </c>
      <c r="C41" s="133"/>
      <c r="D41" s="75"/>
      <c r="E41" s="75"/>
      <c r="F41" s="177"/>
    </row>
    <row r="42" spans="2:6" ht="21" x14ac:dyDescent="0.5">
      <c r="B42" s="7" t="s">
        <v>33</v>
      </c>
      <c r="C42" s="133">
        <v>1050.97</v>
      </c>
      <c r="D42" s="133">
        <v>450.65</v>
      </c>
      <c r="E42" s="75">
        <f t="shared" si="2"/>
        <v>600.32000000000005</v>
      </c>
      <c r="F42" s="175">
        <f t="shared" si="3"/>
        <v>1.3321202707200712</v>
      </c>
    </row>
    <row r="43" spans="2:6" ht="21" x14ac:dyDescent="0.5">
      <c r="B43" s="7" t="s">
        <v>34</v>
      </c>
      <c r="C43" s="133">
        <v>15.55</v>
      </c>
      <c r="D43" s="133">
        <v>86.74</v>
      </c>
      <c r="E43" s="75">
        <f t="shared" si="2"/>
        <v>-71.19</v>
      </c>
      <c r="F43" s="177">
        <f t="shared" si="3"/>
        <v>-0.82072861424948118</v>
      </c>
    </row>
    <row r="44" spans="2:6" ht="21" x14ac:dyDescent="0.5">
      <c r="B44" s="7" t="s">
        <v>35</v>
      </c>
      <c r="C44" s="133">
        <v>1</v>
      </c>
      <c r="D44" s="133">
        <v>0</v>
      </c>
      <c r="E44" s="75">
        <f t="shared" si="2"/>
        <v>1</v>
      </c>
      <c r="F44" s="177"/>
    </row>
    <row r="45" spans="2:6" ht="21" x14ac:dyDescent="0.5">
      <c r="B45" s="2" t="s">
        <v>3</v>
      </c>
      <c r="C45" s="75">
        <v>0</v>
      </c>
      <c r="D45" s="75">
        <v>8.68</v>
      </c>
      <c r="E45" s="75">
        <f t="shared" si="2"/>
        <v>-8.68</v>
      </c>
      <c r="F45" s="177">
        <f t="shared" si="3"/>
        <v>-1</v>
      </c>
    </row>
    <row r="46" spans="2:6" ht="21" x14ac:dyDescent="0.5">
      <c r="B46" s="7" t="s">
        <v>134</v>
      </c>
      <c r="C46" s="75">
        <v>29.52</v>
      </c>
      <c r="D46" s="75">
        <v>14.07</v>
      </c>
      <c r="E46" s="75">
        <f t="shared" si="2"/>
        <v>15.45</v>
      </c>
      <c r="F46" s="177">
        <f t="shared" si="3"/>
        <v>1.0980810234541578</v>
      </c>
    </row>
    <row r="47" spans="2:6" ht="21" x14ac:dyDescent="0.5">
      <c r="B47" s="2" t="s">
        <v>4</v>
      </c>
      <c r="C47" s="75">
        <v>93.15</v>
      </c>
      <c r="D47" s="75">
        <v>68.09</v>
      </c>
      <c r="E47" s="75">
        <f t="shared" si="2"/>
        <v>25.060000000000002</v>
      </c>
      <c r="F47" s="177">
        <f t="shared" si="3"/>
        <v>0.36804229695990603</v>
      </c>
    </row>
    <row r="48" spans="2:6" ht="21" x14ac:dyDescent="0.5">
      <c r="B48" s="7" t="s">
        <v>2</v>
      </c>
      <c r="C48" s="75">
        <f>SUM(C37:C47)</f>
        <v>2582.7000000000003</v>
      </c>
      <c r="D48" s="75">
        <f>SUM(D37:D47)</f>
        <v>1859.7799999999997</v>
      </c>
      <c r="E48" s="75">
        <f>C48-D48</f>
        <v>722.92000000000053</v>
      </c>
      <c r="F48" s="175">
        <f>E48/D48</f>
        <v>0.38871264343094381</v>
      </c>
    </row>
    <row r="49" spans="2:6" ht="21" x14ac:dyDescent="0.5">
      <c r="B49" s="6" t="s">
        <v>36</v>
      </c>
      <c r="C49" s="134"/>
      <c r="D49" s="135"/>
      <c r="E49" s="75"/>
      <c r="F49" s="177"/>
    </row>
    <row r="50" spans="2:6" ht="21" x14ac:dyDescent="0.5">
      <c r="B50" s="2" t="s">
        <v>37</v>
      </c>
      <c r="C50" s="75">
        <v>718.89</v>
      </c>
      <c r="D50" s="75">
        <v>594.58000000000004</v>
      </c>
      <c r="E50" s="75">
        <f t="shared" ref="E50:E58" si="4">C50-D50</f>
        <v>124.30999999999995</v>
      </c>
      <c r="F50" s="175">
        <f t="shared" ref="F50:F58" si="5">E50/D50</f>
        <v>0.20907194994786224</v>
      </c>
    </row>
    <row r="51" spans="2:6" ht="21" x14ac:dyDescent="0.5">
      <c r="B51" s="2" t="s">
        <v>32</v>
      </c>
      <c r="C51" s="75"/>
      <c r="D51" s="75"/>
      <c r="E51" s="75"/>
      <c r="F51" s="177"/>
    </row>
    <row r="52" spans="2:6" ht="21" x14ac:dyDescent="0.5">
      <c r="B52" s="2" t="s">
        <v>147</v>
      </c>
      <c r="C52" s="75">
        <v>594.70000000000005</v>
      </c>
      <c r="D52" s="75">
        <v>735.48</v>
      </c>
      <c r="E52" s="75">
        <f t="shared" si="4"/>
        <v>-140.77999999999997</v>
      </c>
      <c r="F52" s="177">
        <f t="shared" si="5"/>
        <v>-0.19141241094251368</v>
      </c>
    </row>
    <row r="53" spans="2:6" ht="21" x14ac:dyDescent="0.5">
      <c r="B53" s="178" t="s">
        <v>148</v>
      </c>
      <c r="C53" s="179">
        <v>350.96</v>
      </c>
      <c r="D53" s="179">
        <v>230.32</v>
      </c>
      <c r="E53" s="179">
        <f t="shared" si="4"/>
        <v>120.63999999999999</v>
      </c>
      <c r="F53" s="175">
        <f t="shared" si="5"/>
        <v>0.52379298367488702</v>
      </c>
    </row>
    <row r="54" spans="2:6" ht="21" x14ac:dyDescent="0.5">
      <c r="B54" s="2" t="s">
        <v>149</v>
      </c>
      <c r="C54" s="75">
        <v>24.73</v>
      </c>
      <c r="D54" s="75">
        <v>88.91</v>
      </c>
      <c r="E54" s="75">
        <f t="shared" si="4"/>
        <v>-64.179999999999993</v>
      </c>
      <c r="F54" s="177">
        <f t="shared" si="5"/>
        <v>-0.72185355977955235</v>
      </c>
    </row>
    <row r="55" spans="2:6" ht="21" x14ac:dyDescent="0.5">
      <c r="B55" s="2" t="s">
        <v>150</v>
      </c>
      <c r="C55" s="75">
        <v>15.75</v>
      </c>
      <c r="D55" s="75">
        <v>8.34</v>
      </c>
      <c r="E55" s="75">
        <f t="shared" si="4"/>
        <v>7.41</v>
      </c>
      <c r="F55" s="177">
        <f t="shared" si="5"/>
        <v>0.88848920863309355</v>
      </c>
    </row>
    <row r="56" spans="2:6" ht="21" x14ac:dyDescent="0.5">
      <c r="B56" s="2" t="s">
        <v>151</v>
      </c>
      <c r="C56" s="75">
        <v>1121.4100000000001</v>
      </c>
      <c r="D56" s="75">
        <v>820.41</v>
      </c>
      <c r="E56" s="75">
        <f t="shared" si="4"/>
        <v>301.00000000000011</v>
      </c>
      <c r="F56" s="177">
        <f t="shared" si="5"/>
        <v>0.36688972586877311</v>
      </c>
    </row>
    <row r="57" spans="2:6" ht="21" x14ac:dyDescent="0.5">
      <c r="B57" s="2" t="s">
        <v>35</v>
      </c>
      <c r="C57" s="75">
        <v>119.54</v>
      </c>
      <c r="D57" s="75">
        <v>98.51</v>
      </c>
      <c r="E57" s="75">
        <f t="shared" si="4"/>
        <v>21.03</v>
      </c>
      <c r="F57" s="177">
        <f t="shared" si="5"/>
        <v>0.21348086488681353</v>
      </c>
    </row>
    <row r="58" spans="2:6" ht="21" x14ac:dyDescent="0.5">
      <c r="B58" s="2" t="s">
        <v>38</v>
      </c>
      <c r="C58" s="75">
        <v>124.29</v>
      </c>
      <c r="D58" s="75">
        <v>190.97</v>
      </c>
      <c r="E58" s="75">
        <f t="shared" si="4"/>
        <v>-66.679999999999993</v>
      </c>
      <c r="F58" s="177">
        <f t="shared" si="5"/>
        <v>-0.34916479028119596</v>
      </c>
    </row>
    <row r="59" spans="2:6" ht="21" x14ac:dyDescent="0.5">
      <c r="B59" s="7" t="s">
        <v>135</v>
      </c>
      <c r="C59" s="75">
        <f>SUM(C50:C58)</f>
        <v>3070.2700000000004</v>
      </c>
      <c r="D59" s="75">
        <f>SUM(D50:D58)</f>
        <v>2767.52</v>
      </c>
      <c r="E59" s="75">
        <f>C59-D59</f>
        <v>302.75000000000045</v>
      </c>
      <c r="F59" s="175">
        <f>E59/D59</f>
        <v>0.10939397005261045</v>
      </c>
    </row>
    <row r="60" spans="2:6" ht="21.5" thickBot="1" x14ac:dyDescent="0.55000000000000004">
      <c r="B60" s="6" t="s">
        <v>136</v>
      </c>
      <c r="C60" s="137">
        <f>C48+C59</f>
        <v>5652.9700000000012</v>
      </c>
      <c r="D60" s="137">
        <f>D48+D59</f>
        <v>4627.2999999999993</v>
      </c>
      <c r="E60" s="75">
        <f>C60-D60</f>
        <v>1025.6700000000019</v>
      </c>
      <c r="F60" s="175">
        <f>E60/D60</f>
        <v>0.2216562574287386</v>
      </c>
    </row>
    <row r="62" spans="2:6" x14ac:dyDescent="0.35">
      <c r="C62" s="131">
        <f>C33-C60</f>
        <v>0</v>
      </c>
      <c r="D62" s="131">
        <f>D33-D60</f>
        <v>0</v>
      </c>
      <c r="E62" s="13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E8051-1CB8-46C2-BC2B-1DE92BFB49D2}">
  <dimension ref="B1:G81"/>
  <sheetViews>
    <sheetView topLeftCell="A11" zoomScale="64" zoomScaleNormal="64" workbookViewId="0">
      <selection activeCell="B23" sqref="B23"/>
    </sheetView>
  </sheetViews>
  <sheetFormatPr defaultRowHeight="14.5" x14ac:dyDescent="0.35"/>
  <cols>
    <col min="2" max="2" width="49.7265625" customWidth="1"/>
    <col min="3" max="3" width="19.7265625" customWidth="1"/>
    <col min="4" max="4" width="21.26953125" customWidth="1"/>
    <col min="5" max="5" width="12.81640625" customWidth="1"/>
    <col min="6" max="6" width="11.7265625" bestFit="1" customWidth="1"/>
  </cols>
  <sheetData>
    <row r="1" spans="2:6" ht="18.5" x14ac:dyDescent="0.45">
      <c r="B1" s="21" t="s">
        <v>12</v>
      </c>
    </row>
    <row r="2" spans="2:6" ht="18.5" x14ac:dyDescent="0.45">
      <c r="B2" s="9"/>
      <c r="C2" s="10" t="s">
        <v>5</v>
      </c>
      <c r="D2" s="10" t="s">
        <v>5</v>
      </c>
    </row>
    <row r="3" spans="2:6" ht="21" x14ac:dyDescent="0.5">
      <c r="B3" s="11"/>
      <c r="C3" s="10" t="s">
        <v>129</v>
      </c>
      <c r="D3" s="10" t="s">
        <v>128</v>
      </c>
    </row>
    <row r="4" spans="2:6" ht="21" x14ac:dyDescent="0.5">
      <c r="B4" s="11"/>
      <c r="C4" s="12" t="s">
        <v>1</v>
      </c>
      <c r="D4" s="12" t="s">
        <v>1</v>
      </c>
    </row>
    <row r="5" spans="2:6" ht="21" x14ac:dyDescent="0.5">
      <c r="B5" s="23" t="s">
        <v>39</v>
      </c>
      <c r="C5" s="12"/>
      <c r="D5" s="12"/>
    </row>
    <row r="6" spans="2:6" ht="21" x14ac:dyDescent="0.5">
      <c r="B6" s="11" t="s">
        <v>130</v>
      </c>
      <c r="C6" s="12">
        <v>10389.49</v>
      </c>
      <c r="D6" s="12">
        <v>9282.0400000000009</v>
      </c>
      <c r="E6" s="20">
        <f>C6-D6</f>
        <v>1107.4499999999989</v>
      </c>
      <c r="F6" s="173">
        <f>E6/D6</f>
        <v>0.11931105662117367</v>
      </c>
    </row>
    <row r="7" spans="2:6" ht="21" x14ac:dyDescent="0.5">
      <c r="B7" s="11" t="s">
        <v>131</v>
      </c>
      <c r="C7" s="12">
        <v>92.96</v>
      </c>
      <c r="D7" s="12">
        <v>98.13</v>
      </c>
      <c r="F7" s="169"/>
    </row>
    <row r="8" spans="2:6" ht="21" x14ac:dyDescent="0.5">
      <c r="B8" s="16" t="s">
        <v>41</v>
      </c>
      <c r="C8" s="12">
        <f>C6+C7</f>
        <v>10482.449999999999</v>
      </c>
      <c r="D8" s="12">
        <f>D6+D7</f>
        <v>9380.17</v>
      </c>
      <c r="E8" s="24">
        <f>C8-D8</f>
        <v>1102.2799999999988</v>
      </c>
      <c r="F8" s="173">
        <f>E8/D8</f>
        <v>0.11751172953155421</v>
      </c>
    </row>
    <row r="9" spans="2:6" ht="21" x14ac:dyDescent="0.5">
      <c r="B9" s="16" t="s">
        <v>40</v>
      </c>
      <c r="C9" s="12">
        <v>190.52</v>
      </c>
      <c r="D9" s="20">
        <v>155.93</v>
      </c>
      <c r="E9" s="24">
        <f>C9-D9</f>
        <v>34.590000000000003</v>
      </c>
      <c r="F9" s="173">
        <f>E9/D9</f>
        <v>0.22183030847175014</v>
      </c>
    </row>
    <row r="10" spans="2:6" ht="21" x14ac:dyDescent="0.5">
      <c r="B10" s="13" t="s">
        <v>42</v>
      </c>
      <c r="C10" s="138">
        <f>SUM(C8:C9)</f>
        <v>10672.97</v>
      </c>
      <c r="D10" s="138">
        <f>SUM(D8:D9)</f>
        <v>9536.1</v>
      </c>
      <c r="E10" s="24">
        <f>C10-D10</f>
        <v>1136.869999999999</v>
      </c>
      <c r="F10" s="173">
        <f>E10/D10</f>
        <v>0.11921749981648672</v>
      </c>
    </row>
    <row r="11" spans="2:6" ht="21" x14ac:dyDescent="0.5">
      <c r="B11" s="13" t="s">
        <v>43</v>
      </c>
      <c r="C11" s="20"/>
      <c r="D11" s="10"/>
      <c r="F11" s="169"/>
    </row>
    <row r="12" spans="2:6" ht="21" x14ac:dyDescent="0.5">
      <c r="B12" s="16" t="s">
        <v>44</v>
      </c>
      <c r="C12" s="12">
        <v>4944.7700000000004</v>
      </c>
      <c r="D12" s="20">
        <v>4405.17</v>
      </c>
      <c r="E12" s="24">
        <f>C12-D12</f>
        <v>539.60000000000036</v>
      </c>
      <c r="F12" s="173">
        <f>E12/D12</f>
        <v>0.1224924350252091</v>
      </c>
    </row>
    <row r="13" spans="2:6" ht="21" x14ac:dyDescent="0.5">
      <c r="B13" s="16" t="s">
        <v>47</v>
      </c>
      <c r="C13" s="12">
        <v>0</v>
      </c>
      <c r="D13" s="20">
        <v>76.11</v>
      </c>
      <c r="E13" s="24">
        <f>C13-D13</f>
        <v>-76.11</v>
      </c>
      <c r="F13" s="173">
        <f>E13/D13</f>
        <v>-1</v>
      </c>
    </row>
    <row r="14" spans="2:6" ht="21" x14ac:dyDescent="0.5">
      <c r="B14" s="16" t="s">
        <v>45</v>
      </c>
      <c r="C14" s="12">
        <v>1381.88</v>
      </c>
      <c r="D14" s="20">
        <v>1372.46</v>
      </c>
      <c r="E14" s="24">
        <f t="shared" ref="E14:E30" si="0">C14-D14</f>
        <v>9.4200000000000728</v>
      </c>
      <c r="F14" s="173">
        <f t="shared" ref="F14:F30" si="1">E14/D14</f>
        <v>6.8635880098509771E-3</v>
      </c>
    </row>
    <row r="15" spans="2:6" ht="63" x14ac:dyDescent="0.5">
      <c r="B15" s="17" t="s">
        <v>46</v>
      </c>
      <c r="C15" s="139">
        <v>-49.02</v>
      </c>
      <c r="D15" s="20">
        <v>-4.18</v>
      </c>
      <c r="E15" s="24">
        <f t="shared" si="0"/>
        <v>-44.84</v>
      </c>
      <c r="F15" s="173">
        <f t="shared" si="1"/>
        <v>10.727272727272728</v>
      </c>
    </row>
    <row r="16" spans="2:6" ht="21" x14ac:dyDescent="0.5">
      <c r="B16" s="16" t="s">
        <v>48</v>
      </c>
      <c r="C16" s="12">
        <v>321.64</v>
      </c>
      <c r="D16" s="20">
        <v>294.87</v>
      </c>
      <c r="E16" s="24">
        <f t="shared" si="0"/>
        <v>26.769999999999982</v>
      </c>
      <c r="F16" s="173">
        <f t="shared" si="1"/>
        <v>9.0785770000339064E-2</v>
      </c>
    </row>
    <row r="17" spans="2:6" ht="21" x14ac:dyDescent="0.5">
      <c r="B17" s="16" t="s">
        <v>51</v>
      </c>
      <c r="C17" s="12">
        <v>1.54</v>
      </c>
      <c r="D17" s="20">
        <v>1.45</v>
      </c>
      <c r="E17" s="24">
        <f t="shared" si="0"/>
        <v>9.000000000000008E-2</v>
      </c>
      <c r="F17" s="173">
        <f t="shared" si="1"/>
        <v>6.2068965517241434E-2</v>
      </c>
    </row>
    <row r="18" spans="2:6" ht="21" x14ac:dyDescent="0.5">
      <c r="B18" s="16" t="s">
        <v>49</v>
      </c>
      <c r="C18" s="12">
        <v>135</v>
      </c>
      <c r="D18" s="20">
        <v>119.76</v>
      </c>
      <c r="E18" s="24">
        <f t="shared" si="0"/>
        <v>15.239999999999995</v>
      </c>
      <c r="F18" s="173">
        <f t="shared" si="1"/>
        <v>0.12725450901803603</v>
      </c>
    </row>
    <row r="19" spans="2:6" ht="21" x14ac:dyDescent="0.5">
      <c r="B19" s="16" t="s">
        <v>50</v>
      </c>
      <c r="C19" s="12">
        <v>2221.0500000000002</v>
      </c>
      <c r="D19" s="20">
        <v>1825.26</v>
      </c>
      <c r="E19" s="24">
        <f t="shared" si="0"/>
        <v>395.79000000000019</v>
      </c>
      <c r="F19" s="173">
        <f t="shared" si="1"/>
        <v>0.21684034055422252</v>
      </c>
    </row>
    <row r="20" spans="2:6" ht="21" x14ac:dyDescent="0.5">
      <c r="B20" s="16" t="s">
        <v>6</v>
      </c>
      <c r="C20" s="140">
        <f>SUM(C12:C19)</f>
        <v>8956.86</v>
      </c>
      <c r="D20" s="140">
        <f>SUM(D12:D19)</f>
        <v>8090.9</v>
      </c>
      <c r="E20" s="24">
        <f t="shared" si="0"/>
        <v>865.96000000000095</v>
      </c>
      <c r="F20" s="173">
        <f t="shared" si="1"/>
        <v>0.10702888430211732</v>
      </c>
    </row>
    <row r="21" spans="2:6" ht="21" x14ac:dyDescent="0.5">
      <c r="B21" s="16"/>
      <c r="C21" s="20"/>
      <c r="D21" s="18"/>
      <c r="E21" s="24"/>
      <c r="F21" s="173"/>
    </row>
    <row r="22" spans="2:6" ht="21" x14ac:dyDescent="0.5">
      <c r="B22" s="16" t="s">
        <v>7</v>
      </c>
      <c r="C22" s="141">
        <f>C10-C20</f>
        <v>1716.1099999999988</v>
      </c>
      <c r="D22" s="141">
        <f>D10-D20</f>
        <v>1445.2000000000007</v>
      </c>
      <c r="E22" s="24">
        <f t="shared" si="0"/>
        <v>270.90999999999804</v>
      </c>
      <c r="F22" s="173">
        <f t="shared" si="1"/>
        <v>0.18745502352615409</v>
      </c>
    </row>
    <row r="23" spans="2:6" ht="21" x14ac:dyDescent="0.5">
      <c r="B23" s="16" t="s">
        <v>8</v>
      </c>
      <c r="C23" s="12">
        <v>0</v>
      </c>
      <c r="D23" s="18">
        <v>0</v>
      </c>
      <c r="E23" s="24"/>
      <c r="F23" s="173"/>
    </row>
    <row r="24" spans="2:6" ht="21" x14ac:dyDescent="0.5">
      <c r="B24" s="13" t="s">
        <v>52</v>
      </c>
      <c r="C24" s="140">
        <f>C22+C23</f>
        <v>1716.1099999999988</v>
      </c>
      <c r="D24" s="140">
        <f>D22+D23</f>
        <v>1445.2000000000007</v>
      </c>
      <c r="E24" s="24">
        <f t="shared" si="0"/>
        <v>270.90999999999804</v>
      </c>
      <c r="F24" s="173">
        <f t="shared" si="1"/>
        <v>0.18745502352615409</v>
      </c>
    </row>
    <row r="25" spans="2:6" ht="21" x14ac:dyDescent="0.5">
      <c r="B25" s="13" t="s">
        <v>53</v>
      </c>
      <c r="C25" s="74"/>
      <c r="D25" s="18"/>
      <c r="E25" s="24"/>
      <c r="F25" s="173"/>
    </row>
    <row r="26" spans="2:6" ht="21" x14ac:dyDescent="0.5">
      <c r="B26" s="16" t="s">
        <v>9</v>
      </c>
      <c r="C26" s="12">
        <v>581.36</v>
      </c>
      <c r="D26" s="74">
        <v>499.56</v>
      </c>
      <c r="E26" s="24">
        <f t="shared" si="0"/>
        <v>81.800000000000011</v>
      </c>
      <c r="F26" s="173">
        <f t="shared" si="1"/>
        <v>0.16374409480342703</v>
      </c>
    </row>
    <row r="27" spans="2:6" ht="21" x14ac:dyDescent="0.5">
      <c r="B27" s="16" t="s">
        <v>10</v>
      </c>
      <c r="C27" s="12">
        <v>12.55</v>
      </c>
      <c r="D27" s="74">
        <v>-2.25</v>
      </c>
      <c r="E27" s="24">
        <f t="shared" si="0"/>
        <v>14.8</v>
      </c>
      <c r="F27" s="173">
        <f t="shared" si="1"/>
        <v>-6.5777777777777784</v>
      </c>
    </row>
    <row r="28" spans="2:6" ht="21" x14ac:dyDescent="0.5">
      <c r="B28" s="16" t="s">
        <v>11</v>
      </c>
      <c r="C28" s="10">
        <f>C26+C27</f>
        <v>593.91</v>
      </c>
      <c r="D28" s="10">
        <f>D26+D27</f>
        <v>497.31</v>
      </c>
      <c r="E28" s="24">
        <f t="shared" si="0"/>
        <v>96.599999999999966</v>
      </c>
      <c r="F28" s="173">
        <f t="shared" si="1"/>
        <v>0.19424503830608666</v>
      </c>
    </row>
    <row r="29" spans="2:6" ht="18.5" x14ac:dyDescent="0.45">
      <c r="B29" s="19"/>
      <c r="C29" s="74"/>
      <c r="D29" s="142"/>
      <c r="E29" s="24"/>
      <c r="F29" s="173"/>
    </row>
    <row r="30" spans="2:6" ht="21" x14ac:dyDescent="0.5">
      <c r="B30" s="13" t="s">
        <v>54</v>
      </c>
      <c r="C30" s="143">
        <f>C24-C28</f>
        <v>1122.1999999999989</v>
      </c>
      <c r="D30" s="143">
        <f>D24-D28</f>
        <v>947.89000000000078</v>
      </c>
      <c r="E30" s="24">
        <f t="shared" si="0"/>
        <v>174.30999999999813</v>
      </c>
      <c r="F30" s="174">
        <f t="shared" si="1"/>
        <v>0.18389264577113165</v>
      </c>
    </row>
    <row r="31" spans="2:6" ht="21" x14ac:dyDescent="0.5">
      <c r="B31" s="16"/>
      <c r="C31" s="20"/>
      <c r="D31" s="20"/>
      <c r="F31" s="169"/>
    </row>
    <row r="32" spans="2:6" ht="21" x14ac:dyDescent="0.5">
      <c r="B32" s="16"/>
      <c r="C32" s="14"/>
      <c r="D32" s="20"/>
      <c r="F32" s="169"/>
    </row>
    <row r="33" spans="2:7" ht="21" x14ac:dyDescent="0.5">
      <c r="B33" s="16"/>
      <c r="C33" s="10"/>
      <c r="D33" s="10"/>
      <c r="E33" s="66"/>
      <c r="F33" s="169"/>
      <c r="G33" s="67"/>
    </row>
    <row r="34" spans="2:7" ht="18.5" x14ac:dyDescent="0.45">
      <c r="B34" s="14"/>
      <c r="C34" s="8"/>
      <c r="D34" s="8"/>
      <c r="E34" s="8"/>
      <c r="F34" s="169"/>
      <c r="G34" s="67"/>
    </row>
    <row r="35" spans="2:7" ht="18.5" x14ac:dyDescent="0.45">
      <c r="B35" s="14"/>
      <c r="C35" s="8"/>
      <c r="D35" s="8"/>
      <c r="E35" s="8"/>
      <c r="F35" s="169"/>
      <c r="G35" s="67"/>
    </row>
    <row r="36" spans="2:7" ht="18.5" x14ac:dyDescent="0.45">
      <c r="B36" s="14"/>
      <c r="C36" s="8"/>
      <c r="D36" s="8"/>
      <c r="E36" s="8"/>
      <c r="F36" s="169"/>
    </row>
    <row r="37" spans="2:7" ht="18.5" x14ac:dyDescent="0.45">
      <c r="B37" s="14"/>
      <c r="C37" s="8"/>
      <c r="D37" s="8"/>
      <c r="E37" s="8"/>
      <c r="F37" s="169"/>
    </row>
    <row r="38" spans="2:7" ht="18.5" x14ac:dyDescent="0.45">
      <c r="B38" s="14"/>
      <c r="C38" s="8"/>
      <c r="D38" s="8"/>
      <c r="E38" s="8"/>
      <c r="F38" s="169"/>
    </row>
    <row r="39" spans="2:7" ht="18.5" x14ac:dyDescent="0.45">
      <c r="B39" s="14"/>
      <c r="C39" s="8"/>
      <c r="D39" s="8"/>
      <c r="E39" s="8"/>
      <c r="F39" s="169"/>
    </row>
    <row r="40" spans="2:7" ht="18.5" x14ac:dyDescent="0.45">
      <c r="B40" s="14"/>
      <c r="C40" s="14"/>
      <c r="D40" s="14"/>
      <c r="E40" s="20"/>
      <c r="F40" s="169"/>
    </row>
    <row r="41" spans="2:7" ht="18.5" x14ac:dyDescent="0.45">
      <c r="B41" s="14"/>
      <c r="C41" s="14"/>
      <c r="D41" s="14"/>
      <c r="E41" s="14"/>
      <c r="F41" s="169"/>
    </row>
    <row r="42" spans="2:7" ht="18.5" x14ac:dyDescent="0.45">
      <c r="B42" s="14"/>
      <c r="C42" s="8"/>
      <c r="D42" s="8"/>
      <c r="E42" s="8"/>
      <c r="F42" s="169"/>
    </row>
    <row r="43" spans="2:7" ht="18.5" x14ac:dyDescent="0.45">
      <c r="B43" s="14"/>
      <c r="C43" s="8"/>
      <c r="D43" s="8"/>
      <c r="E43" s="8"/>
      <c r="F43" s="169"/>
    </row>
    <row r="44" spans="2:7" ht="18.5" x14ac:dyDescent="0.45">
      <c r="B44" s="14"/>
      <c r="C44" s="14"/>
      <c r="D44" s="14"/>
      <c r="E44" s="20"/>
      <c r="F44" s="169"/>
    </row>
    <row r="45" spans="2:7" ht="18.5" x14ac:dyDescent="0.45">
      <c r="C45" s="20"/>
      <c r="D45" s="20"/>
      <c r="E45" s="20"/>
      <c r="F45" s="169"/>
    </row>
    <row r="46" spans="2:7" ht="18.5" x14ac:dyDescent="0.45">
      <c r="C46" s="8"/>
      <c r="D46" s="8"/>
      <c r="E46" s="8"/>
      <c r="F46" s="169"/>
    </row>
    <row r="47" spans="2:7" ht="18.5" x14ac:dyDescent="0.45">
      <c r="B47" s="14"/>
      <c r="C47" s="20"/>
      <c r="D47" s="20"/>
      <c r="E47" s="20"/>
      <c r="F47" s="169"/>
    </row>
    <row r="48" spans="2:7" ht="18.5" x14ac:dyDescent="0.45">
      <c r="B48" s="14"/>
      <c r="C48" s="14"/>
      <c r="D48" s="68"/>
      <c r="E48" s="20"/>
      <c r="F48" s="169"/>
    </row>
    <row r="49" spans="2:6" x14ac:dyDescent="0.35">
      <c r="D49" s="69"/>
      <c r="E49" s="67"/>
      <c r="F49" s="169"/>
    </row>
    <row r="50" spans="2:6" ht="18.5" x14ac:dyDescent="0.45">
      <c r="B50" s="14"/>
      <c r="C50" s="14"/>
      <c r="D50" s="68"/>
      <c r="E50" s="20"/>
      <c r="F50" s="169"/>
    </row>
    <row r="51" spans="2:6" ht="18.5" x14ac:dyDescent="0.45">
      <c r="B51" s="14"/>
      <c r="C51" s="14"/>
      <c r="D51" s="68"/>
      <c r="E51" s="20"/>
      <c r="F51" s="169"/>
    </row>
    <row r="52" spans="2:6" ht="18.5" x14ac:dyDescent="0.45">
      <c r="B52" s="14"/>
      <c r="C52" s="20"/>
      <c r="D52" s="20"/>
      <c r="E52" s="20"/>
      <c r="F52" s="169"/>
    </row>
    <row r="53" spans="2:6" ht="18.5" x14ac:dyDescent="0.45">
      <c r="B53" s="14"/>
      <c r="C53" s="8"/>
      <c r="D53" s="8"/>
      <c r="E53" s="8"/>
      <c r="F53" s="169"/>
    </row>
    <row r="54" spans="2:6" ht="18.5" x14ac:dyDescent="0.45">
      <c r="B54" s="14"/>
      <c r="C54" s="8"/>
      <c r="D54" s="8"/>
      <c r="E54" s="8"/>
      <c r="F54" s="169"/>
    </row>
    <row r="55" spans="2:6" ht="18.5" x14ac:dyDescent="0.45">
      <c r="B55" s="14"/>
      <c r="C55" s="8"/>
      <c r="D55" s="8"/>
      <c r="E55" s="8"/>
      <c r="F55" s="169"/>
    </row>
    <row r="56" spans="2:6" ht="18.5" x14ac:dyDescent="0.45">
      <c r="B56" s="14"/>
      <c r="C56" s="20"/>
      <c r="D56" s="20"/>
      <c r="E56" s="20"/>
      <c r="F56" s="169"/>
    </row>
    <row r="57" spans="2:6" ht="18.5" x14ac:dyDescent="0.45">
      <c r="B57" s="14"/>
      <c r="C57" s="14"/>
      <c r="D57" s="68"/>
      <c r="E57" s="20"/>
    </row>
    <row r="58" spans="2:6" ht="18.5" x14ac:dyDescent="0.45">
      <c r="B58" s="14"/>
      <c r="C58" s="70"/>
      <c r="D58" s="70"/>
      <c r="E58" s="70"/>
    </row>
    <row r="59" spans="2:6" ht="18.5" x14ac:dyDescent="0.45">
      <c r="B59" s="14"/>
      <c r="C59" s="70"/>
      <c r="D59" s="70"/>
      <c r="E59" s="70"/>
    </row>
    <row r="60" spans="2:6" ht="18.5" x14ac:dyDescent="0.45">
      <c r="B60" s="14"/>
      <c r="C60" s="69"/>
      <c r="D60" s="69"/>
      <c r="E60" s="67"/>
    </row>
    <row r="61" spans="2:6" ht="18.5" x14ac:dyDescent="0.45">
      <c r="B61" s="14"/>
      <c r="C61" s="14"/>
      <c r="D61" s="14"/>
      <c r="E61" s="8"/>
    </row>
    <row r="62" spans="2:6" ht="18.5" x14ac:dyDescent="0.45">
      <c r="B62" s="14"/>
      <c r="C62" s="14"/>
      <c r="D62" s="14"/>
      <c r="E62" s="8"/>
    </row>
    <row r="63" spans="2:6" ht="18.5" x14ac:dyDescent="0.45">
      <c r="B63" s="14"/>
      <c r="E63" s="8"/>
    </row>
    <row r="64" spans="2:6" ht="18.5" x14ac:dyDescent="0.45">
      <c r="B64" s="14"/>
      <c r="C64" s="130"/>
      <c r="D64" s="130"/>
      <c r="E64" s="8"/>
    </row>
    <row r="65" spans="2:7" ht="18.5" x14ac:dyDescent="0.45">
      <c r="E65" s="8"/>
    </row>
    <row r="66" spans="2:7" ht="18.5" x14ac:dyDescent="0.45">
      <c r="B66" s="14"/>
      <c r="C66" s="131"/>
      <c r="D66" s="131"/>
      <c r="E66" s="67"/>
    </row>
    <row r="67" spans="2:7" ht="18.5" x14ac:dyDescent="0.45">
      <c r="B67" s="14"/>
      <c r="C67" s="131"/>
      <c r="D67" s="131"/>
      <c r="E67" s="70"/>
    </row>
    <row r="68" spans="2:7" ht="18.5" x14ac:dyDescent="0.45">
      <c r="B68" s="14"/>
      <c r="C68" s="130"/>
      <c r="D68" s="130"/>
      <c r="E68" s="70"/>
    </row>
    <row r="69" spans="2:7" ht="18.5" x14ac:dyDescent="0.45">
      <c r="E69" s="14"/>
    </row>
    <row r="70" spans="2:7" ht="18.5" x14ac:dyDescent="0.45">
      <c r="E70" s="8"/>
    </row>
    <row r="71" spans="2:7" ht="18.5" x14ac:dyDescent="0.45">
      <c r="E71" s="8"/>
    </row>
    <row r="72" spans="2:7" x14ac:dyDescent="0.35">
      <c r="D72" s="69"/>
      <c r="E72" s="67"/>
    </row>
    <row r="73" spans="2:7" ht="18.5" x14ac:dyDescent="0.45">
      <c r="B73" s="14"/>
      <c r="C73" s="14"/>
      <c r="D73" s="14"/>
      <c r="E73" s="67"/>
    </row>
    <row r="74" spans="2:7" ht="18.5" x14ac:dyDescent="0.45">
      <c r="B74" s="14"/>
      <c r="C74" s="22"/>
      <c r="D74" s="14"/>
      <c r="E74" s="72"/>
      <c r="F74" s="73"/>
      <c r="G74" s="71"/>
    </row>
    <row r="75" spans="2:7" ht="18.5" x14ac:dyDescent="0.45">
      <c r="B75" s="14"/>
      <c r="C75" s="14"/>
      <c r="D75" s="14"/>
      <c r="E75" s="72"/>
      <c r="F75" s="73"/>
      <c r="G75" s="71"/>
    </row>
    <row r="76" spans="2:7" ht="18.5" x14ac:dyDescent="0.45">
      <c r="B76" s="14"/>
      <c r="D76" s="69"/>
      <c r="E76" s="67"/>
    </row>
    <row r="77" spans="2:7" ht="18.5" x14ac:dyDescent="0.45">
      <c r="B77" s="14"/>
      <c r="C77" s="70"/>
      <c r="D77" s="70"/>
    </row>
    <row r="78" spans="2:7" ht="18.5" x14ac:dyDescent="0.45">
      <c r="B78" s="14"/>
      <c r="C78" s="70"/>
      <c r="D78" s="70"/>
    </row>
    <row r="79" spans="2:7" ht="18.5" x14ac:dyDescent="0.45">
      <c r="B79" s="14"/>
      <c r="C79" s="70"/>
      <c r="D79" s="70"/>
    </row>
    <row r="80" spans="2:7" ht="18.5" x14ac:dyDescent="0.45">
      <c r="B80" s="14"/>
      <c r="C80" s="8"/>
      <c r="D80" s="8"/>
    </row>
    <row r="81" spans="2:4" ht="18.5" x14ac:dyDescent="0.45">
      <c r="B81" s="14"/>
      <c r="C81" s="8"/>
      <c r="D81" s="8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73FB8-4240-4F2E-861B-35C5ACEDD374}">
  <dimension ref="B2:I62"/>
  <sheetViews>
    <sheetView topLeftCell="A22" zoomScale="78" zoomScaleNormal="78" workbookViewId="0">
      <selection activeCell="C33" sqref="C33"/>
    </sheetView>
  </sheetViews>
  <sheetFormatPr defaultRowHeight="14.5" x14ac:dyDescent="0.35"/>
  <cols>
    <col min="2" max="2" width="57.81640625" bestFit="1" customWidth="1"/>
    <col min="3" max="4" width="23.7265625" customWidth="1"/>
    <col min="5" max="5" width="21.81640625" customWidth="1"/>
    <col min="6" max="6" width="22.453125" customWidth="1"/>
  </cols>
  <sheetData>
    <row r="2" spans="2:6" ht="21" x14ac:dyDescent="0.5">
      <c r="B2" s="1" t="s">
        <v>154</v>
      </c>
      <c r="C2" s="1"/>
      <c r="D2" s="1"/>
      <c r="E2" s="2"/>
      <c r="F2" s="3"/>
    </row>
    <row r="3" spans="2:6" ht="21" x14ac:dyDescent="0.5">
      <c r="B3" s="4"/>
      <c r="C3" s="4"/>
      <c r="D3" s="4"/>
      <c r="E3" s="2"/>
      <c r="F3" s="3"/>
    </row>
    <row r="4" spans="2:6" ht="21" x14ac:dyDescent="0.5">
      <c r="B4" s="2"/>
      <c r="C4" s="5" t="s">
        <v>0</v>
      </c>
      <c r="D4" s="5"/>
      <c r="E4" s="5" t="s">
        <v>0</v>
      </c>
      <c r="F4" s="5"/>
    </row>
    <row r="5" spans="2:6" ht="21" x14ac:dyDescent="0.5">
      <c r="B5" s="2"/>
      <c r="C5" s="2" t="s">
        <v>153</v>
      </c>
      <c r="D5" s="2"/>
      <c r="E5" s="2" t="s">
        <v>127</v>
      </c>
      <c r="F5" s="2"/>
    </row>
    <row r="6" spans="2:6" ht="21" x14ac:dyDescent="0.5">
      <c r="B6" s="2"/>
      <c r="C6" s="5" t="s">
        <v>1</v>
      </c>
      <c r="D6" s="5"/>
      <c r="E6" s="5" t="s">
        <v>1</v>
      </c>
      <c r="F6" s="5"/>
    </row>
    <row r="7" spans="2:6" ht="21" x14ac:dyDescent="0.5">
      <c r="B7" s="6" t="s">
        <v>15</v>
      </c>
      <c r="C7" s="6"/>
      <c r="D7" s="6"/>
      <c r="E7" s="2"/>
      <c r="F7" s="2"/>
    </row>
    <row r="8" spans="2:6" ht="21" x14ac:dyDescent="0.5">
      <c r="B8" s="6" t="s">
        <v>13</v>
      </c>
      <c r="C8" s="6"/>
      <c r="D8" s="6"/>
      <c r="E8" s="2"/>
      <c r="F8" s="2"/>
    </row>
    <row r="9" spans="2:6" ht="21" x14ac:dyDescent="0.5">
      <c r="B9" s="2" t="s">
        <v>137</v>
      </c>
      <c r="C9" s="75">
        <v>24.03</v>
      </c>
      <c r="D9" s="151">
        <f>C9/5652.97</f>
        <v>4.2508628207827033E-3</v>
      </c>
      <c r="E9" s="135">
        <v>24.01</v>
      </c>
      <c r="F9" s="151">
        <f t="shared" ref="F9:F58" si="0">E9/4627.3</f>
        <v>5.1887709895619477E-3</v>
      </c>
    </row>
    <row r="10" spans="2:6" ht="21" x14ac:dyDescent="0.5">
      <c r="B10" s="2" t="s">
        <v>14</v>
      </c>
      <c r="C10" s="75">
        <v>4015.42</v>
      </c>
      <c r="D10" s="149">
        <f>C10/5652.97</f>
        <v>0.71032041563992021</v>
      </c>
      <c r="E10" s="135">
        <v>3211.27</v>
      </c>
      <c r="F10" s="151">
        <f t="shared" si="0"/>
        <v>0.69398353251356082</v>
      </c>
    </row>
    <row r="11" spans="2:6" ht="21" x14ac:dyDescent="0.5">
      <c r="B11" s="7" t="s">
        <v>138</v>
      </c>
      <c r="C11" s="75">
        <f>SUM(C9:C10)</f>
        <v>4039.4500000000003</v>
      </c>
      <c r="D11" s="188">
        <f>C11/5652.97</f>
        <v>0.71457127846070301</v>
      </c>
      <c r="E11" s="75">
        <f>SUM(E9:E10)</f>
        <v>3235.28</v>
      </c>
      <c r="F11" s="187">
        <f t="shared" si="0"/>
        <v>0.69917230350312276</v>
      </c>
    </row>
    <row r="12" spans="2:6" ht="21" x14ac:dyDescent="0.5">
      <c r="B12" s="6" t="s">
        <v>16</v>
      </c>
      <c r="C12" s="133"/>
      <c r="D12" s="133"/>
      <c r="E12" s="75"/>
      <c r="F12" s="151"/>
    </row>
    <row r="13" spans="2:6" ht="21" x14ac:dyDescent="0.5">
      <c r="B13" s="6" t="s">
        <v>17</v>
      </c>
      <c r="C13" s="134"/>
      <c r="D13" s="134"/>
      <c r="E13" s="135"/>
      <c r="F13" s="151"/>
    </row>
    <row r="14" spans="2:6" ht="21" x14ac:dyDescent="0.5">
      <c r="B14" s="7" t="s">
        <v>20</v>
      </c>
      <c r="C14" s="75"/>
      <c r="D14" s="75"/>
      <c r="E14" s="75"/>
      <c r="F14" s="151"/>
    </row>
    <row r="15" spans="2:6" ht="21" x14ac:dyDescent="0.5">
      <c r="B15" s="7" t="s">
        <v>140</v>
      </c>
      <c r="C15" s="75">
        <v>0.26</v>
      </c>
      <c r="D15" s="75">
        <f>C15/C33</f>
        <v>4.5993521989325961E-5</v>
      </c>
      <c r="E15" s="75">
        <v>0.3</v>
      </c>
      <c r="F15" s="151">
        <f t="shared" si="0"/>
        <v>6.4832623776284225E-5</v>
      </c>
    </row>
    <row r="16" spans="2:6" ht="21" x14ac:dyDescent="0.5">
      <c r="B16" s="6" t="s">
        <v>139</v>
      </c>
      <c r="C16" s="133">
        <v>27.03</v>
      </c>
      <c r="D16" s="186">
        <f>C16/5652.97</f>
        <v>4.7815573052749265E-3</v>
      </c>
      <c r="E16" s="133">
        <v>24.97</v>
      </c>
      <c r="F16" s="187">
        <f t="shared" si="0"/>
        <v>5.3962353856460568E-3</v>
      </c>
    </row>
    <row r="17" spans="2:7" ht="21" x14ac:dyDescent="0.5">
      <c r="B17" s="2" t="s">
        <v>141</v>
      </c>
      <c r="C17" s="75">
        <v>3.87</v>
      </c>
      <c r="D17" s="150">
        <f t="shared" ref="D17:D60" si="1">C17/5652.97</f>
        <v>6.8459588499496726E-4</v>
      </c>
      <c r="E17" s="133">
        <v>0</v>
      </c>
      <c r="F17" s="151">
        <f t="shared" si="0"/>
        <v>0</v>
      </c>
    </row>
    <row r="18" spans="2:7" ht="21" x14ac:dyDescent="0.5">
      <c r="B18" s="2" t="s">
        <v>142</v>
      </c>
      <c r="C18" s="75">
        <v>0</v>
      </c>
      <c r="D18" s="150">
        <f t="shared" si="1"/>
        <v>0</v>
      </c>
      <c r="E18" s="75">
        <v>0.72</v>
      </c>
      <c r="F18" s="151">
        <f t="shared" si="0"/>
        <v>1.5559829706308212E-4</v>
      </c>
    </row>
    <row r="19" spans="2:7" ht="21" x14ac:dyDescent="0.5">
      <c r="B19" s="2" t="s">
        <v>143</v>
      </c>
      <c r="C19" s="75">
        <f>SUM(C15:C18)</f>
        <v>31.160000000000004</v>
      </c>
      <c r="D19" s="186">
        <f t="shared" si="1"/>
        <v>5.5121467122592202E-3</v>
      </c>
      <c r="E19" s="75">
        <f>SUM(E15:E18)</f>
        <v>25.99</v>
      </c>
      <c r="F19" s="187">
        <f t="shared" si="0"/>
        <v>5.6166663064854232E-3</v>
      </c>
    </row>
    <row r="20" spans="2:7" ht="21" x14ac:dyDescent="0.5">
      <c r="B20" s="6" t="s">
        <v>25</v>
      </c>
      <c r="C20" s="134"/>
      <c r="D20" s="150"/>
      <c r="E20" s="135"/>
      <c r="F20" s="151"/>
    </row>
    <row r="21" spans="2:7" ht="21" x14ac:dyDescent="0.5">
      <c r="B21" s="2" t="s">
        <v>20</v>
      </c>
      <c r="C21" s="75"/>
      <c r="D21" s="150"/>
      <c r="E21" s="135"/>
      <c r="F21" s="151"/>
    </row>
    <row r="22" spans="2:7" ht="21" x14ac:dyDescent="0.5">
      <c r="B22" s="2" t="s">
        <v>144</v>
      </c>
      <c r="C22" s="75">
        <v>0</v>
      </c>
      <c r="D22" s="189">
        <f t="shared" si="1"/>
        <v>0</v>
      </c>
      <c r="E22" s="135">
        <v>9.01</v>
      </c>
      <c r="F22" s="187">
        <f t="shared" si="0"/>
        <v>1.9471398007477362E-3</v>
      </c>
    </row>
    <row r="23" spans="2:7" ht="21" x14ac:dyDescent="0.5">
      <c r="B23" s="2" t="s">
        <v>21</v>
      </c>
      <c r="C23" s="75"/>
      <c r="D23" s="150"/>
      <c r="E23" s="135"/>
      <c r="F23" s="151"/>
    </row>
    <row r="24" spans="2:7" ht="21" x14ac:dyDescent="0.5">
      <c r="B24" s="2" t="s">
        <v>22</v>
      </c>
      <c r="C24" s="75">
        <v>1.78</v>
      </c>
      <c r="D24" s="150">
        <f t="shared" si="1"/>
        <v>3.1487872746538545E-4</v>
      </c>
      <c r="E24" s="75">
        <v>1.55</v>
      </c>
      <c r="F24" s="151">
        <f t="shared" si="0"/>
        <v>3.349685561774685E-4</v>
      </c>
      <c r="G24" s="22"/>
    </row>
    <row r="25" spans="2:7" ht="21" x14ac:dyDescent="0.5">
      <c r="B25" s="2" t="s">
        <v>23</v>
      </c>
      <c r="C25" s="75">
        <v>1030.76</v>
      </c>
      <c r="D25" s="150">
        <f t="shared" si="1"/>
        <v>0.18233954894506779</v>
      </c>
      <c r="E25" s="75">
        <v>864.81</v>
      </c>
      <c r="F25" s="151">
        <f t="shared" si="0"/>
        <v>0.18689300455989452</v>
      </c>
      <c r="G25" s="22"/>
    </row>
    <row r="26" spans="2:7" ht="21" x14ac:dyDescent="0.5">
      <c r="B26" s="6" t="s">
        <v>18</v>
      </c>
      <c r="C26" s="133">
        <v>205.17</v>
      </c>
      <c r="D26" s="150">
        <f t="shared" si="1"/>
        <v>3.6294195794423105E-2</v>
      </c>
      <c r="E26" s="75">
        <v>182.62</v>
      </c>
      <c r="F26" s="151">
        <f t="shared" si="0"/>
        <v>3.946577918008342E-2</v>
      </c>
      <c r="G26" s="22"/>
    </row>
    <row r="27" spans="2:7" ht="21" x14ac:dyDescent="0.5">
      <c r="B27" s="2" t="s">
        <v>24</v>
      </c>
      <c r="C27" s="75">
        <v>84.83</v>
      </c>
      <c r="D27" s="150">
        <f t="shared" si="1"/>
        <v>1.5006271039825082E-2</v>
      </c>
      <c r="E27" s="75">
        <v>82.05</v>
      </c>
      <c r="F27" s="151">
        <f t="shared" si="0"/>
        <v>1.7731722602813735E-2</v>
      </c>
      <c r="G27" s="22"/>
    </row>
    <row r="28" spans="2:7" ht="21" x14ac:dyDescent="0.5">
      <c r="B28" s="2" t="s">
        <v>142</v>
      </c>
      <c r="C28" s="75">
        <v>0.71</v>
      </c>
      <c r="D28" s="150">
        <f t="shared" si="1"/>
        <v>1.2559769466315935E-4</v>
      </c>
      <c r="E28" s="75">
        <v>0.71</v>
      </c>
      <c r="F28" s="151">
        <f t="shared" si="0"/>
        <v>1.5343720960387264E-4</v>
      </c>
      <c r="G28" s="22"/>
    </row>
    <row r="29" spans="2:7" ht="21" x14ac:dyDescent="0.5">
      <c r="B29" s="2" t="s">
        <v>19</v>
      </c>
      <c r="C29" s="75">
        <v>188.52</v>
      </c>
      <c r="D29" s="150">
        <f t="shared" si="1"/>
        <v>3.334884140549127E-2</v>
      </c>
      <c r="E29" s="75">
        <v>171.05</v>
      </c>
      <c r="F29" s="151">
        <f t="shared" si="0"/>
        <v>3.6965400989778061E-2</v>
      </c>
      <c r="G29" s="22"/>
    </row>
    <row r="30" spans="2:7" ht="21" x14ac:dyDescent="0.5">
      <c r="B30" s="2" t="s">
        <v>145</v>
      </c>
      <c r="C30" s="75">
        <v>70.59</v>
      </c>
      <c r="D30" s="150">
        <f t="shared" si="1"/>
        <v>1.2487241220101999E-2</v>
      </c>
      <c r="E30" s="75">
        <v>54.23</v>
      </c>
      <c r="F30" s="151">
        <f t="shared" si="0"/>
        <v>1.1719577291292978E-2</v>
      </c>
      <c r="G30" s="22"/>
    </row>
    <row r="31" spans="2:7" ht="21" x14ac:dyDescent="0.5">
      <c r="B31" s="7" t="s">
        <v>81</v>
      </c>
      <c r="C31" s="75">
        <f>SUM(C21:C30)</f>
        <v>1582.36</v>
      </c>
      <c r="D31" s="186">
        <f t="shared" si="1"/>
        <v>0.2799165748270378</v>
      </c>
      <c r="E31" s="75">
        <f>SUM(E21:E30)</f>
        <v>1366.0299999999997</v>
      </c>
      <c r="F31" s="151">
        <f t="shared" si="0"/>
        <v>0.29521103019039174</v>
      </c>
    </row>
    <row r="32" spans="2:7" ht="21" x14ac:dyDescent="0.5">
      <c r="B32" s="7" t="s">
        <v>146</v>
      </c>
      <c r="C32" s="75">
        <f>C31+C19</f>
        <v>1613.52</v>
      </c>
      <c r="D32" s="186">
        <f t="shared" si="1"/>
        <v>0.28542872153929705</v>
      </c>
      <c r="E32" s="75">
        <f>E31+E19</f>
        <v>1392.0199999999998</v>
      </c>
      <c r="F32" s="187">
        <f t="shared" si="0"/>
        <v>0.30082769649687718</v>
      </c>
    </row>
    <row r="33" spans="2:6" ht="21.5" thickBot="1" x14ac:dyDescent="0.55000000000000004">
      <c r="B33" s="6" t="s">
        <v>26</v>
      </c>
      <c r="C33" s="137">
        <f>C32+C11</f>
        <v>5652.97</v>
      </c>
      <c r="D33" s="186">
        <f t="shared" si="1"/>
        <v>1</v>
      </c>
      <c r="E33" s="137">
        <f>E32+E11</f>
        <v>4627.3</v>
      </c>
      <c r="F33" s="151">
        <f t="shared" si="0"/>
        <v>1</v>
      </c>
    </row>
    <row r="34" spans="2:6" ht="21" x14ac:dyDescent="0.5">
      <c r="B34" s="6"/>
      <c r="C34" s="134"/>
      <c r="D34" s="150"/>
      <c r="E34" s="135"/>
      <c r="F34" s="151"/>
    </row>
    <row r="35" spans="2:6" ht="21" x14ac:dyDescent="0.5">
      <c r="B35" s="6" t="s">
        <v>29</v>
      </c>
      <c r="C35" s="134"/>
      <c r="D35" s="150"/>
      <c r="E35" s="135"/>
      <c r="F35" s="151"/>
    </row>
    <row r="36" spans="2:6" ht="21" x14ac:dyDescent="0.5">
      <c r="B36" s="6" t="s">
        <v>28</v>
      </c>
      <c r="C36" s="134"/>
      <c r="D36" s="150"/>
      <c r="E36" s="135"/>
      <c r="F36" s="151"/>
    </row>
    <row r="37" spans="2:6" ht="21" x14ac:dyDescent="0.5">
      <c r="B37" s="2" t="s">
        <v>30</v>
      </c>
      <c r="C37" s="75">
        <v>1283.8499999999999</v>
      </c>
      <c r="D37" s="186">
        <f t="shared" si="1"/>
        <v>0.22711070463844665</v>
      </c>
      <c r="E37" s="75">
        <v>1008.31</v>
      </c>
      <c r="F37" s="151">
        <f t="shared" si="0"/>
        <v>0.21790460959955046</v>
      </c>
    </row>
    <row r="38" spans="2:6" ht="21" x14ac:dyDescent="0.5">
      <c r="B38" s="2" t="s">
        <v>31</v>
      </c>
      <c r="C38" s="75">
        <v>64.91</v>
      </c>
      <c r="D38" s="150">
        <f t="shared" si="1"/>
        <v>1.1482459662796724E-2</v>
      </c>
      <c r="E38" s="75">
        <v>200.28</v>
      </c>
      <c r="F38" s="151">
        <f t="shared" si="0"/>
        <v>4.3282259633047347E-2</v>
      </c>
    </row>
    <row r="39" spans="2:6" ht="21" x14ac:dyDescent="0.5">
      <c r="B39" s="7" t="s">
        <v>132</v>
      </c>
      <c r="C39" s="133">
        <v>36.130000000000003</v>
      </c>
      <c r="D39" s="150">
        <f t="shared" si="1"/>
        <v>6.3913305749013355E-3</v>
      </c>
      <c r="E39" s="75">
        <v>14.99</v>
      </c>
      <c r="F39" s="151">
        <f t="shared" si="0"/>
        <v>3.2394701013550016E-3</v>
      </c>
    </row>
    <row r="40" spans="2:6" ht="21" x14ac:dyDescent="0.5">
      <c r="B40" s="2" t="s">
        <v>133</v>
      </c>
      <c r="C40" s="75">
        <v>7.62</v>
      </c>
      <c r="D40" s="150">
        <f t="shared" si="1"/>
        <v>1.3479639906102455E-3</v>
      </c>
      <c r="E40" s="75">
        <v>7.97</v>
      </c>
      <c r="F40" s="151">
        <f t="shared" si="0"/>
        <v>1.7223867049899508E-3</v>
      </c>
    </row>
    <row r="41" spans="2:6" ht="21" x14ac:dyDescent="0.5">
      <c r="B41" s="7" t="s">
        <v>32</v>
      </c>
      <c r="C41" s="133"/>
      <c r="D41" s="150"/>
      <c r="E41" s="75"/>
      <c r="F41" s="151"/>
    </row>
    <row r="42" spans="2:6" ht="21" x14ac:dyDescent="0.5">
      <c r="B42" s="7" t="s">
        <v>33</v>
      </c>
      <c r="C42" s="133">
        <v>1050.97</v>
      </c>
      <c r="D42" s="186">
        <f t="shared" si="1"/>
        <v>0.18591466078893043</v>
      </c>
      <c r="E42" s="133">
        <v>450.65</v>
      </c>
      <c r="F42" s="151">
        <f t="shared" si="0"/>
        <v>9.738940634927494E-2</v>
      </c>
    </row>
    <row r="43" spans="2:6" ht="21" x14ac:dyDescent="0.5">
      <c r="B43" s="7" t="s">
        <v>34</v>
      </c>
      <c r="C43" s="133">
        <v>15.55</v>
      </c>
      <c r="D43" s="186">
        <f t="shared" si="1"/>
        <v>2.7507664112846877E-3</v>
      </c>
      <c r="E43" s="133">
        <v>86.74</v>
      </c>
      <c r="F43" s="151">
        <f t="shared" si="0"/>
        <v>1.8745272621182977E-2</v>
      </c>
    </row>
    <row r="44" spans="2:6" ht="21" x14ac:dyDescent="0.5">
      <c r="B44" s="7" t="s">
        <v>35</v>
      </c>
      <c r="C44" s="133">
        <v>1</v>
      </c>
      <c r="D44" s="150">
        <f t="shared" si="1"/>
        <v>1.7689816149740756E-4</v>
      </c>
      <c r="E44" s="133">
        <v>0</v>
      </c>
      <c r="F44" s="151">
        <f t="shared" si="0"/>
        <v>0</v>
      </c>
    </row>
    <row r="45" spans="2:6" ht="21" x14ac:dyDescent="0.5">
      <c r="B45" s="2" t="s">
        <v>3</v>
      </c>
      <c r="C45" s="75">
        <v>0</v>
      </c>
      <c r="D45" s="150">
        <f t="shared" si="1"/>
        <v>0</v>
      </c>
      <c r="E45" s="75">
        <v>8.68</v>
      </c>
      <c r="F45" s="151">
        <f t="shared" si="0"/>
        <v>1.8758239145938234E-3</v>
      </c>
    </row>
    <row r="46" spans="2:6" ht="21" x14ac:dyDescent="0.5">
      <c r="B46" s="7" t="s">
        <v>134</v>
      </c>
      <c r="C46" s="75">
        <v>29.52</v>
      </c>
      <c r="D46" s="150">
        <f t="shared" si="1"/>
        <v>5.2220337274034708E-3</v>
      </c>
      <c r="E46" s="75">
        <v>14.07</v>
      </c>
      <c r="F46" s="151">
        <f t="shared" si="0"/>
        <v>3.0406500551077302E-3</v>
      </c>
    </row>
    <row r="47" spans="2:6" ht="21" x14ac:dyDescent="0.5">
      <c r="B47" s="2" t="s">
        <v>4</v>
      </c>
      <c r="C47" s="75">
        <v>93.15</v>
      </c>
      <c r="D47" s="150">
        <f t="shared" si="1"/>
        <v>1.6478063743483515E-2</v>
      </c>
      <c r="E47" s="75">
        <v>68.09</v>
      </c>
      <c r="F47" s="151">
        <f t="shared" si="0"/>
        <v>1.4714844509757311E-2</v>
      </c>
    </row>
    <row r="48" spans="2:6" ht="21" x14ac:dyDescent="0.5">
      <c r="B48" s="7" t="s">
        <v>2</v>
      </c>
      <c r="C48" s="75">
        <f>SUM(C37:C47)</f>
        <v>2582.7000000000003</v>
      </c>
      <c r="D48" s="186">
        <f t="shared" si="1"/>
        <v>0.45687488169935453</v>
      </c>
      <c r="E48" s="75">
        <f>SUM(E37:E47)</f>
        <v>1859.7799999999997</v>
      </c>
      <c r="F48" s="151">
        <f t="shared" si="0"/>
        <v>0.40191472348885954</v>
      </c>
    </row>
    <row r="49" spans="2:9" ht="21" x14ac:dyDescent="0.5">
      <c r="B49" s="6" t="s">
        <v>36</v>
      </c>
      <c r="C49" s="134"/>
      <c r="D49" s="150"/>
      <c r="E49" s="135"/>
      <c r="F49" s="151"/>
    </row>
    <row r="50" spans="2:9" ht="21" x14ac:dyDescent="0.5">
      <c r="B50" s="2" t="s">
        <v>37</v>
      </c>
      <c r="C50" s="75">
        <v>718.89</v>
      </c>
      <c r="D50" s="150">
        <f>C50/5652.97</f>
        <v>0.12717031931887132</v>
      </c>
      <c r="E50" s="75">
        <v>594.58000000000004</v>
      </c>
      <c r="F50" s="151">
        <f t="shared" si="0"/>
        <v>0.12849393814967691</v>
      </c>
    </row>
    <row r="51" spans="2:9" ht="21" x14ac:dyDescent="0.5">
      <c r="B51" s="2" t="s">
        <v>32</v>
      </c>
      <c r="C51" s="75"/>
      <c r="D51" s="150"/>
      <c r="E51" s="75"/>
      <c r="F51" s="151"/>
    </row>
    <row r="52" spans="2:9" ht="21" x14ac:dyDescent="0.5">
      <c r="B52" s="2" t="s">
        <v>147</v>
      </c>
      <c r="C52" s="75">
        <v>594.70000000000005</v>
      </c>
      <c r="D52" s="150">
        <f t="shared" si="1"/>
        <v>0.10520133664250828</v>
      </c>
      <c r="E52" s="75">
        <v>735.48</v>
      </c>
      <c r="F52" s="151">
        <f t="shared" si="0"/>
        <v>0.15894366044993841</v>
      </c>
      <c r="I52">
        <f>4230.59/3426.64</f>
        <v>1.2346175845726426</v>
      </c>
    </row>
    <row r="53" spans="2:9" ht="21" x14ac:dyDescent="0.5">
      <c r="B53" s="2" t="s">
        <v>148</v>
      </c>
      <c r="C53" s="75">
        <v>350.96</v>
      </c>
      <c r="D53" s="186">
        <f t="shared" si="1"/>
        <v>6.2084178759130151E-2</v>
      </c>
      <c r="E53" s="75">
        <v>230.32</v>
      </c>
      <c r="F53" s="151">
        <f t="shared" si="0"/>
        <v>4.9774166360512608E-2</v>
      </c>
    </row>
    <row r="54" spans="2:9" ht="21" x14ac:dyDescent="0.5">
      <c r="B54" s="2" t="s">
        <v>149</v>
      </c>
      <c r="C54" s="75">
        <v>24.73</v>
      </c>
      <c r="D54" s="186">
        <f t="shared" si="1"/>
        <v>4.3746915338308883E-3</v>
      </c>
      <c r="E54" s="75">
        <v>88.91</v>
      </c>
      <c r="F54" s="151">
        <f t="shared" si="0"/>
        <v>1.9214228599831434E-2</v>
      </c>
      <c r="I54" t="s">
        <v>155</v>
      </c>
    </row>
    <row r="55" spans="2:9" ht="21" x14ac:dyDescent="0.5">
      <c r="B55" s="2" t="s">
        <v>150</v>
      </c>
      <c r="C55" s="75">
        <v>15.75</v>
      </c>
      <c r="D55" s="150">
        <f t="shared" si="1"/>
        <v>2.786146043584169E-3</v>
      </c>
      <c r="E55" s="75">
        <v>8.34</v>
      </c>
      <c r="F55" s="151">
        <f t="shared" si="0"/>
        <v>1.8023469409807014E-3</v>
      </c>
    </row>
    <row r="56" spans="2:9" ht="21" x14ac:dyDescent="0.5">
      <c r="B56" s="2" t="s">
        <v>151</v>
      </c>
      <c r="C56" s="75">
        <v>1121.4100000000001</v>
      </c>
      <c r="D56" s="186">
        <f t="shared" si="1"/>
        <v>0.19837536728480781</v>
      </c>
      <c r="E56" s="75">
        <v>820.41</v>
      </c>
      <c r="F56" s="151">
        <f t="shared" si="0"/>
        <v>0.17729777624100446</v>
      </c>
      <c r="I56">
        <f>10389.49/3426.64</f>
        <v>3.0319759297737727</v>
      </c>
    </row>
    <row r="57" spans="2:9" ht="21" x14ac:dyDescent="0.5">
      <c r="B57" s="2" t="s">
        <v>35</v>
      </c>
      <c r="C57" s="75">
        <v>119.54</v>
      </c>
      <c r="D57" s="150">
        <f t="shared" si="1"/>
        <v>2.1146406225400101E-2</v>
      </c>
      <c r="E57" s="75">
        <v>98.51</v>
      </c>
      <c r="F57" s="151">
        <f t="shared" si="0"/>
        <v>2.128887256067253E-2</v>
      </c>
    </row>
    <row r="58" spans="2:9" ht="21" x14ac:dyDescent="0.5">
      <c r="B58" s="2" t="s">
        <v>38</v>
      </c>
      <c r="C58" s="75">
        <v>124.29</v>
      </c>
      <c r="D58" s="150">
        <f t="shared" si="1"/>
        <v>2.1986672492512786E-2</v>
      </c>
      <c r="E58" s="75">
        <v>190.97</v>
      </c>
      <c r="F58" s="151">
        <f t="shared" si="0"/>
        <v>4.1270287208523326E-2</v>
      </c>
    </row>
    <row r="59" spans="2:9" ht="21" x14ac:dyDescent="0.5">
      <c r="B59" s="7" t="s">
        <v>135</v>
      </c>
      <c r="C59" s="75">
        <f>SUM(C50:C58)</f>
        <v>3070.2700000000004</v>
      </c>
      <c r="D59" s="150">
        <f t="shared" si="1"/>
        <v>0.54312511830064558</v>
      </c>
      <c r="E59" s="75">
        <f>SUM(E50:E58)</f>
        <v>2767.52</v>
      </c>
      <c r="F59" s="151">
        <f>E59/4627.3</f>
        <v>0.59808527651114041</v>
      </c>
    </row>
    <row r="60" spans="2:9" ht="21.5" thickBot="1" x14ac:dyDescent="0.55000000000000004">
      <c r="B60" s="185" t="s">
        <v>136</v>
      </c>
      <c r="C60" s="137">
        <f>C48+C59</f>
        <v>5652.9700000000012</v>
      </c>
      <c r="D60" s="186">
        <f t="shared" si="1"/>
        <v>1.0000000000000002</v>
      </c>
      <c r="E60" s="137">
        <f>E48+E59</f>
        <v>4627.2999999999993</v>
      </c>
      <c r="F60" s="187">
        <f>E60/4627.3</f>
        <v>0.99999999999999978</v>
      </c>
    </row>
    <row r="62" spans="2:9" x14ac:dyDescent="0.35">
      <c r="C62" s="131">
        <f>C33-C60</f>
        <v>0</v>
      </c>
      <c r="D62" s="131"/>
      <c r="E62" s="131">
        <f>E33-E60</f>
        <v>0</v>
      </c>
      <c r="F62" s="131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I81"/>
  <sheetViews>
    <sheetView zoomScale="84" zoomScaleNormal="84" workbookViewId="0">
      <selection activeCell="C8" sqref="C8"/>
    </sheetView>
  </sheetViews>
  <sheetFormatPr defaultRowHeight="14.5" x14ac:dyDescent="0.35"/>
  <cols>
    <col min="2" max="2" width="49.7265625" customWidth="1"/>
    <col min="3" max="4" width="19.7265625" customWidth="1"/>
    <col min="5" max="5" width="21.26953125" customWidth="1"/>
  </cols>
  <sheetData>
    <row r="1" spans="2:9" ht="18.5" x14ac:dyDescent="0.45">
      <c r="B1" s="21" t="s">
        <v>12</v>
      </c>
    </row>
    <row r="2" spans="2:9" ht="18.5" x14ac:dyDescent="0.45">
      <c r="B2" s="9"/>
      <c r="C2" s="10" t="s">
        <v>5</v>
      </c>
      <c r="D2" s="10"/>
      <c r="E2" s="10" t="s">
        <v>5</v>
      </c>
    </row>
    <row r="3" spans="2:9" ht="21" x14ac:dyDescent="0.5">
      <c r="B3" s="11"/>
      <c r="C3" s="10" t="s">
        <v>129</v>
      </c>
      <c r="D3" s="10"/>
      <c r="E3" s="10" t="s">
        <v>128</v>
      </c>
    </row>
    <row r="4" spans="2:9" ht="21" x14ac:dyDescent="0.5">
      <c r="B4" s="11"/>
      <c r="C4" s="12" t="s">
        <v>1</v>
      </c>
      <c r="D4" s="12"/>
      <c r="E4" s="12" t="s">
        <v>1</v>
      </c>
    </row>
    <row r="5" spans="2:9" ht="21" x14ac:dyDescent="0.5">
      <c r="B5" s="23" t="s">
        <v>39</v>
      </c>
      <c r="C5" s="12"/>
      <c r="D5" s="12"/>
      <c r="E5" s="12"/>
    </row>
    <row r="6" spans="2:9" ht="21" x14ac:dyDescent="0.5">
      <c r="B6" s="11" t="s">
        <v>130</v>
      </c>
      <c r="C6" s="12">
        <v>10389.49</v>
      </c>
      <c r="D6" s="12"/>
      <c r="E6" s="12">
        <v>9282.0400000000009</v>
      </c>
    </row>
    <row r="7" spans="2:9" ht="21" x14ac:dyDescent="0.5">
      <c r="B7" s="11" t="s">
        <v>131</v>
      </c>
      <c r="C7" s="12">
        <v>92.96</v>
      </c>
      <c r="D7" s="12"/>
      <c r="E7" s="12">
        <v>98.13</v>
      </c>
    </row>
    <row r="8" spans="2:9" ht="21" x14ac:dyDescent="0.5">
      <c r="B8" s="182" t="s">
        <v>41</v>
      </c>
      <c r="C8" s="12">
        <f>C6+C7</f>
        <v>10482.449999999999</v>
      </c>
      <c r="D8" s="183">
        <v>1</v>
      </c>
      <c r="E8" s="12">
        <f>E6+E7</f>
        <v>9380.17</v>
      </c>
      <c r="F8" s="184">
        <f>100%</f>
        <v>1</v>
      </c>
    </row>
    <row r="9" spans="2:9" ht="21" x14ac:dyDescent="0.5">
      <c r="B9" s="16" t="s">
        <v>40</v>
      </c>
      <c r="C9" s="12">
        <v>190.52</v>
      </c>
      <c r="D9" s="144">
        <f>C9/10482.45</f>
        <v>1.8175140353638701E-2</v>
      </c>
      <c r="E9" s="20">
        <v>155.93</v>
      </c>
      <c r="F9" s="148">
        <f>E9/E8</f>
        <v>1.6623366101040812E-2</v>
      </c>
    </row>
    <row r="10" spans="2:9" ht="21" x14ac:dyDescent="0.5">
      <c r="B10" s="13" t="s">
        <v>42</v>
      </c>
      <c r="C10" s="138">
        <f>SUM(C8:C9)</f>
        <v>10672.97</v>
      </c>
      <c r="D10" s="138"/>
      <c r="E10" s="138">
        <f>SUM(E8:E9)</f>
        <v>9536.1</v>
      </c>
    </row>
    <row r="11" spans="2:9" ht="21" x14ac:dyDescent="0.5">
      <c r="B11" s="13" t="s">
        <v>43</v>
      </c>
      <c r="C11" s="20"/>
      <c r="D11" s="20"/>
      <c r="E11" s="10"/>
    </row>
    <row r="12" spans="2:9" ht="21" x14ac:dyDescent="0.5">
      <c r="B12" s="16" t="s">
        <v>44</v>
      </c>
      <c r="C12" s="12">
        <v>4944.7700000000004</v>
      </c>
      <c r="D12" s="144">
        <f>C12/10482.45</f>
        <v>0.47171892067217114</v>
      </c>
      <c r="E12" s="20">
        <v>4405.17</v>
      </c>
      <c r="F12" s="146">
        <f t="shared" ref="F12:F20" si="0">E12/9380.17</f>
        <v>0.4696258170161095</v>
      </c>
    </row>
    <row r="13" spans="2:9" ht="21" x14ac:dyDescent="0.5">
      <c r="B13" s="16" t="s">
        <v>47</v>
      </c>
      <c r="C13" s="12">
        <v>0</v>
      </c>
      <c r="D13" s="144">
        <f>C13/10482.45</f>
        <v>0</v>
      </c>
      <c r="E13" s="20">
        <v>76.11</v>
      </c>
      <c r="F13" s="146">
        <f t="shared" si="0"/>
        <v>8.113925440583699E-3</v>
      </c>
    </row>
    <row r="14" spans="2:9" ht="21" x14ac:dyDescent="0.5">
      <c r="B14" s="16" t="s">
        <v>45</v>
      </c>
      <c r="C14" s="12">
        <v>1381.88</v>
      </c>
      <c r="D14" s="144">
        <f>C14/10482.45</f>
        <v>0.13182796006658748</v>
      </c>
      <c r="E14" s="20">
        <v>1372.46</v>
      </c>
      <c r="F14" s="146">
        <f t="shared" si="0"/>
        <v>0.1463150454629287</v>
      </c>
    </row>
    <row r="15" spans="2:9" ht="63" x14ac:dyDescent="0.5">
      <c r="B15" s="17" t="s">
        <v>46</v>
      </c>
      <c r="C15" s="139">
        <v>-49.02</v>
      </c>
      <c r="D15" s="144">
        <f>C15/10482.45</f>
        <v>-4.6763876765450827E-3</v>
      </c>
      <c r="E15" s="20">
        <v>-4.18</v>
      </c>
      <c r="F15" s="146">
        <f t="shared" si="0"/>
        <v>-4.4562092158244461E-4</v>
      </c>
      <c r="G15" s="145">
        <f>D12+D14+D15</f>
        <v>0.59887049306221352</v>
      </c>
      <c r="H15" s="147">
        <f>F12+F13+F14+F15</f>
        <v>0.62360916699803948</v>
      </c>
      <c r="I15" t="s">
        <v>181</v>
      </c>
    </row>
    <row r="16" spans="2:9" ht="21" x14ac:dyDescent="0.5">
      <c r="B16" s="16" t="s">
        <v>48</v>
      </c>
      <c r="C16" s="12">
        <v>321.64</v>
      </c>
      <c r="D16" s="144">
        <f>C16/C8*D8</f>
        <v>3.0683666509260719E-2</v>
      </c>
      <c r="E16" s="20">
        <v>294.87</v>
      </c>
      <c r="F16" s="146">
        <f t="shared" si="0"/>
        <v>3.1435464389238145E-2</v>
      </c>
    </row>
    <row r="17" spans="2:6" ht="21" x14ac:dyDescent="0.5">
      <c r="B17" s="16" t="s">
        <v>51</v>
      </c>
      <c r="C17" s="12">
        <v>1.54</v>
      </c>
      <c r="D17" s="157">
        <f>C17/C9*D9</f>
        <v>1.4691221994858074E-4</v>
      </c>
      <c r="E17" s="20">
        <v>1.45</v>
      </c>
      <c r="F17" s="146">
        <f t="shared" si="0"/>
        <v>1.5458142016615904E-4</v>
      </c>
    </row>
    <row r="18" spans="2:6" ht="21" x14ac:dyDescent="0.5">
      <c r="B18" s="16" t="s">
        <v>49</v>
      </c>
      <c r="C18" s="12">
        <v>135</v>
      </c>
      <c r="D18" s="144">
        <f>C18/10482.45</f>
        <v>1.2878668631856102E-2</v>
      </c>
      <c r="E18" s="20">
        <v>119.76</v>
      </c>
      <c r="F18" s="146">
        <f t="shared" si="0"/>
        <v>1.276735922696497E-2</v>
      </c>
    </row>
    <row r="19" spans="2:6" ht="21" x14ac:dyDescent="0.5">
      <c r="B19" s="16" t="s">
        <v>50</v>
      </c>
      <c r="C19" s="12">
        <v>2221.0500000000002</v>
      </c>
      <c r="D19" s="180">
        <f>C19/10482.45</f>
        <v>0.21188271825765922</v>
      </c>
      <c r="E19" s="20">
        <v>1825.26</v>
      </c>
      <c r="F19" s="181">
        <f t="shared" si="0"/>
        <v>0.194587091705161</v>
      </c>
    </row>
    <row r="20" spans="2:6" ht="21" x14ac:dyDescent="0.5">
      <c r="B20" s="16" t="s">
        <v>6</v>
      </c>
      <c r="C20" s="140">
        <f>SUM(C12:C19)</f>
        <v>8956.86</v>
      </c>
      <c r="D20" s="180">
        <f>C20/10482.45</f>
        <v>0.85446245868093817</v>
      </c>
      <c r="E20" s="140">
        <f>SUM(E12:E19)</f>
        <v>8090.9</v>
      </c>
      <c r="F20" s="181">
        <f t="shared" si="0"/>
        <v>0.86255366373956965</v>
      </c>
    </row>
    <row r="21" spans="2:6" ht="21" x14ac:dyDescent="0.5">
      <c r="B21" s="16"/>
      <c r="C21" s="20"/>
      <c r="D21" s="20"/>
      <c r="E21" s="18"/>
    </row>
    <row r="22" spans="2:6" ht="21" x14ac:dyDescent="0.5">
      <c r="B22" s="16" t="s">
        <v>7</v>
      </c>
      <c r="C22" s="141">
        <f>C10-C20</f>
        <v>1716.1099999999988</v>
      </c>
      <c r="D22" s="144">
        <f t="shared" ref="D22:D30" si="1">C22/C14*D14</f>
        <v>0.16371268167270042</v>
      </c>
      <c r="E22" s="141">
        <f>E10-E20</f>
        <v>1445.2000000000007</v>
      </c>
      <c r="F22" s="146">
        <f>E22/9380.17</f>
        <v>0.15406970236147113</v>
      </c>
    </row>
    <row r="23" spans="2:6" ht="21" x14ac:dyDescent="0.5">
      <c r="B23" s="16" t="s">
        <v>8</v>
      </c>
      <c r="C23" s="12">
        <v>0</v>
      </c>
      <c r="D23" s="144">
        <f t="shared" si="1"/>
        <v>0</v>
      </c>
      <c r="E23" s="18">
        <v>0</v>
      </c>
      <c r="F23" s="146">
        <f>E23/9380.17</f>
        <v>0</v>
      </c>
    </row>
    <row r="24" spans="2:6" ht="21" x14ac:dyDescent="0.5">
      <c r="B24" s="13" t="s">
        <v>52</v>
      </c>
      <c r="C24" s="140">
        <f>C22+C23</f>
        <v>1716.1099999999988</v>
      </c>
      <c r="D24" s="144">
        <f t="shared" si="1"/>
        <v>0.16371268167270048</v>
      </c>
      <c r="E24" s="140">
        <f>E22+E23</f>
        <v>1445.2000000000007</v>
      </c>
      <c r="F24" s="146">
        <f>E24/9380.17</f>
        <v>0.15406970236147113</v>
      </c>
    </row>
    <row r="25" spans="2:6" ht="21" x14ac:dyDescent="0.5">
      <c r="B25" s="13" t="s">
        <v>53</v>
      </c>
      <c r="C25" s="74"/>
      <c r="D25" s="144">
        <f>C25/C17*D17</f>
        <v>0</v>
      </c>
      <c r="E25" s="18"/>
    </row>
    <row r="26" spans="2:6" ht="21" x14ac:dyDescent="0.5">
      <c r="B26" s="16" t="s">
        <v>9</v>
      </c>
      <c r="C26" s="12">
        <v>581.36</v>
      </c>
      <c r="D26" s="144">
        <f t="shared" si="1"/>
        <v>5.5460317006043432E-2</v>
      </c>
      <c r="E26" s="74">
        <v>499.56</v>
      </c>
      <c r="F26" s="146">
        <f>E26/9380.17</f>
        <v>5.3257030522900969E-2</v>
      </c>
    </row>
    <row r="27" spans="2:6" ht="21" x14ac:dyDescent="0.5">
      <c r="B27" s="16" t="s">
        <v>10</v>
      </c>
      <c r="C27" s="12">
        <v>12.55</v>
      </c>
      <c r="D27" s="144">
        <f t="shared" si="1"/>
        <v>1.1972391950355115E-3</v>
      </c>
      <c r="E27" s="74">
        <v>-2.25</v>
      </c>
      <c r="F27" s="146">
        <f>E27/9380.17</f>
        <v>-2.3986772094748815E-4</v>
      </c>
    </row>
    <row r="28" spans="2:6" ht="21" x14ac:dyDescent="0.5">
      <c r="B28" s="16" t="s">
        <v>11</v>
      </c>
      <c r="C28" s="10">
        <f>C26+C27</f>
        <v>593.91</v>
      </c>
      <c r="D28" s="144">
        <f t="shared" si="1"/>
        <v>5.6657556201078943E-2</v>
      </c>
      <c r="E28" s="10">
        <f>E26+E27</f>
        <v>497.31</v>
      </c>
      <c r="F28" s="146">
        <f>E28/9380.17</f>
        <v>5.3017162801953482E-2</v>
      </c>
    </row>
    <row r="29" spans="2:6" ht="21" x14ac:dyDescent="0.5">
      <c r="B29" s="19"/>
      <c r="C29" s="74"/>
      <c r="D29" s="144"/>
      <c r="E29" s="142"/>
      <c r="F29" s="146"/>
    </row>
    <row r="30" spans="2:6" ht="21" x14ac:dyDescent="0.5">
      <c r="B30" s="13" t="s">
        <v>54</v>
      </c>
      <c r="C30" s="143">
        <f>C24-C28</f>
        <v>1122.1999999999989</v>
      </c>
      <c r="D30" s="144">
        <f t="shared" si="1"/>
        <v>0.10705512547162151</v>
      </c>
      <c r="E30" s="143">
        <f>E24-E28</f>
        <v>947.89000000000078</v>
      </c>
      <c r="F30" s="146">
        <f>E30/9380.17</f>
        <v>0.10105253955951767</v>
      </c>
    </row>
    <row r="31" spans="2:6" ht="21" x14ac:dyDescent="0.5">
      <c r="B31" s="16"/>
      <c r="C31" s="20"/>
      <c r="D31" s="20"/>
      <c r="E31" s="20"/>
    </row>
    <row r="32" spans="2:6" ht="21" x14ac:dyDescent="0.5">
      <c r="B32" s="16"/>
      <c r="C32" s="14"/>
      <c r="D32" s="14"/>
      <c r="E32" s="20"/>
    </row>
    <row r="33" spans="2:8" ht="21" x14ac:dyDescent="0.5">
      <c r="B33" s="16"/>
      <c r="C33" s="10"/>
      <c r="D33" s="10"/>
      <c r="E33" s="10"/>
      <c r="F33" s="66"/>
      <c r="H33" s="67"/>
    </row>
    <row r="34" spans="2:8" ht="18.5" x14ac:dyDescent="0.45">
      <c r="B34" s="14"/>
      <c r="C34" s="8"/>
      <c r="D34" s="8"/>
      <c r="E34" s="8"/>
      <c r="F34" s="8"/>
      <c r="H34" s="67"/>
    </row>
    <row r="35" spans="2:8" ht="18.5" x14ac:dyDescent="0.45">
      <c r="B35" s="14"/>
      <c r="C35" s="8"/>
      <c r="D35" s="8"/>
      <c r="E35" s="8"/>
      <c r="F35" s="8"/>
      <c r="H35" s="67"/>
    </row>
    <row r="36" spans="2:8" ht="18.5" x14ac:dyDescent="0.45">
      <c r="B36" s="14"/>
      <c r="C36" s="8"/>
      <c r="D36" s="8"/>
      <c r="E36" s="8"/>
      <c r="F36" s="8"/>
    </row>
    <row r="37" spans="2:8" ht="18.5" x14ac:dyDescent="0.45">
      <c r="B37" s="14"/>
      <c r="C37" s="8"/>
      <c r="D37" s="8"/>
      <c r="E37" s="8"/>
      <c r="F37" s="8"/>
    </row>
    <row r="38" spans="2:8" ht="18.5" x14ac:dyDescent="0.45">
      <c r="B38" s="14"/>
      <c r="C38" s="8"/>
      <c r="D38" s="8"/>
      <c r="E38" s="8"/>
      <c r="F38" s="8"/>
    </row>
    <row r="39" spans="2:8" ht="18.5" x14ac:dyDescent="0.45">
      <c r="B39" s="14"/>
      <c r="C39" s="8"/>
      <c r="D39" s="8"/>
      <c r="E39" s="8"/>
      <c r="F39" s="8"/>
    </row>
    <row r="40" spans="2:8" ht="18.5" x14ac:dyDescent="0.45">
      <c r="B40" s="14"/>
      <c r="C40" s="14"/>
      <c r="D40" s="14"/>
      <c r="E40" s="14"/>
      <c r="F40" s="20"/>
    </row>
    <row r="41" spans="2:8" ht="18.5" x14ac:dyDescent="0.45">
      <c r="B41" s="14"/>
      <c r="C41" s="14"/>
      <c r="D41" s="14"/>
      <c r="E41" s="14"/>
      <c r="F41" s="14"/>
    </row>
    <row r="42" spans="2:8" ht="18.5" x14ac:dyDescent="0.45">
      <c r="B42" s="14"/>
      <c r="C42" s="8"/>
      <c r="D42" s="8"/>
      <c r="E42" s="8"/>
      <c r="F42" s="8"/>
    </row>
    <row r="43" spans="2:8" ht="18.5" x14ac:dyDescent="0.45">
      <c r="B43" s="14"/>
      <c r="C43" s="8"/>
      <c r="D43" s="8"/>
      <c r="E43" s="8"/>
      <c r="F43" s="8"/>
    </row>
    <row r="44" spans="2:8" ht="18.5" x14ac:dyDescent="0.45">
      <c r="B44" s="14"/>
      <c r="C44" s="14"/>
      <c r="D44" s="14"/>
      <c r="E44" s="14"/>
      <c r="F44" s="20"/>
    </row>
    <row r="45" spans="2:8" ht="18.5" x14ac:dyDescent="0.45">
      <c r="C45" s="20"/>
      <c r="D45" s="20"/>
      <c r="E45" s="20"/>
      <c r="F45" s="20"/>
    </row>
    <row r="46" spans="2:8" ht="18.5" x14ac:dyDescent="0.45">
      <c r="C46" s="8"/>
      <c r="D46" s="8"/>
      <c r="E46" s="8"/>
      <c r="F46" s="8"/>
    </row>
    <row r="47" spans="2:8" ht="18.5" x14ac:dyDescent="0.45">
      <c r="B47" s="14"/>
      <c r="C47" s="20"/>
      <c r="D47" s="20"/>
      <c r="E47" s="20"/>
      <c r="F47" s="20"/>
    </row>
    <row r="48" spans="2:8" ht="18.5" x14ac:dyDescent="0.45">
      <c r="B48" s="14"/>
      <c r="C48" s="14"/>
      <c r="D48" s="14"/>
      <c r="E48" s="68"/>
      <c r="F48" s="20"/>
    </row>
    <row r="49" spans="2:6" x14ac:dyDescent="0.35">
      <c r="E49" s="69"/>
      <c r="F49" s="67"/>
    </row>
    <row r="50" spans="2:6" ht="18.5" x14ac:dyDescent="0.45">
      <c r="B50" s="14"/>
      <c r="C50" s="14"/>
      <c r="D50" s="14"/>
      <c r="E50" s="68"/>
      <c r="F50" s="20"/>
    </row>
    <row r="51" spans="2:6" ht="18.5" x14ac:dyDescent="0.45">
      <c r="B51" s="14"/>
      <c r="C51" s="14"/>
      <c r="D51" s="14"/>
      <c r="E51" s="68"/>
      <c r="F51" s="20"/>
    </row>
    <row r="52" spans="2:6" ht="18.5" x14ac:dyDescent="0.45">
      <c r="B52" s="14"/>
      <c r="C52" s="20"/>
      <c r="D52" s="20"/>
      <c r="E52" s="20"/>
      <c r="F52" s="20"/>
    </row>
    <row r="53" spans="2:6" ht="18.5" x14ac:dyDescent="0.45">
      <c r="B53" s="14"/>
      <c r="C53" s="8"/>
      <c r="D53" s="8"/>
      <c r="E53" s="8"/>
      <c r="F53" s="8"/>
    </row>
    <row r="54" spans="2:6" ht="18.5" x14ac:dyDescent="0.45">
      <c r="B54" s="14"/>
      <c r="C54" s="8"/>
      <c r="D54" s="8"/>
      <c r="E54" s="8"/>
      <c r="F54" s="8"/>
    </row>
    <row r="55" spans="2:6" ht="18.5" x14ac:dyDescent="0.45">
      <c r="B55" s="14"/>
      <c r="C55" s="8"/>
      <c r="D55" s="8"/>
      <c r="E55" s="8"/>
      <c r="F55" s="8"/>
    </row>
    <row r="56" spans="2:6" ht="18.5" x14ac:dyDescent="0.45">
      <c r="B56" s="14"/>
      <c r="C56" s="20"/>
      <c r="D56" s="20"/>
      <c r="E56" s="20"/>
      <c r="F56" s="20"/>
    </row>
    <row r="57" spans="2:6" ht="18.5" x14ac:dyDescent="0.45">
      <c r="B57" s="14"/>
      <c r="C57" s="14"/>
      <c r="D57" s="14"/>
      <c r="E57" s="68"/>
      <c r="F57" s="20"/>
    </row>
    <row r="58" spans="2:6" ht="18.5" x14ac:dyDescent="0.45">
      <c r="B58" s="14"/>
      <c r="C58" s="70"/>
      <c r="D58" s="70"/>
      <c r="E58" s="70"/>
      <c r="F58" s="70"/>
    </row>
    <row r="59" spans="2:6" ht="18.5" x14ac:dyDescent="0.45">
      <c r="B59" s="14"/>
      <c r="C59" s="70"/>
      <c r="D59" s="70"/>
      <c r="E59" s="70"/>
      <c r="F59" s="70"/>
    </row>
    <row r="60" spans="2:6" ht="18.5" x14ac:dyDescent="0.45">
      <c r="B60" s="14"/>
      <c r="C60" s="69"/>
      <c r="D60" s="69"/>
      <c r="E60" s="69"/>
      <c r="F60" s="67"/>
    </row>
    <row r="61" spans="2:6" ht="18.5" x14ac:dyDescent="0.45">
      <c r="B61" s="14"/>
      <c r="C61" s="14"/>
      <c r="D61" s="14"/>
      <c r="E61" s="14"/>
      <c r="F61" s="8"/>
    </row>
    <row r="62" spans="2:6" ht="18.5" x14ac:dyDescent="0.45">
      <c r="B62" s="14"/>
      <c r="C62" s="14"/>
      <c r="D62" s="14"/>
      <c r="E62" s="14"/>
      <c r="F62" s="8"/>
    </row>
    <row r="63" spans="2:6" ht="18.5" x14ac:dyDescent="0.45">
      <c r="B63" s="14"/>
      <c r="F63" s="8"/>
    </row>
    <row r="64" spans="2:6" ht="18.5" x14ac:dyDescent="0.45">
      <c r="B64" s="14"/>
      <c r="C64" s="130"/>
      <c r="D64" s="130"/>
      <c r="E64" s="130"/>
      <c r="F64" s="8"/>
    </row>
    <row r="65" spans="2:8" ht="18.5" x14ac:dyDescent="0.45">
      <c r="F65" s="8"/>
    </row>
    <row r="66" spans="2:8" ht="18.5" x14ac:dyDescent="0.45">
      <c r="B66" s="14"/>
      <c r="C66" s="131"/>
      <c r="D66" s="131"/>
      <c r="E66" s="131"/>
      <c r="F66" s="67"/>
    </row>
    <row r="67" spans="2:8" ht="18.5" x14ac:dyDescent="0.45">
      <c r="B67" s="14"/>
      <c r="C67" s="131"/>
      <c r="D67" s="131"/>
      <c r="E67" s="131"/>
      <c r="F67" s="70"/>
    </row>
    <row r="68" spans="2:8" ht="18.5" x14ac:dyDescent="0.45">
      <c r="B68" s="14"/>
      <c r="C68" s="130"/>
      <c r="D68" s="130"/>
      <c r="E68" s="130"/>
      <c r="F68" s="70"/>
    </row>
    <row r="69" spans="2:8" ht="18.5" x14ac:dyDescent="0.45">
      <c r="F69" s="14"/>
    </row>
    <row r="70" spans="2:8" ht="18.5" x14ac:dyDescent="0.45">
      <c r="F70" s="8"/>
    </row>
    <row r="71" spans="2:8" ht="18.5" x14ac:dyDescent="0.45">
      <c r="F71" s="8"/>
    </row>
    <row r="72" spans="2:8" x14ac:dyDescent="0.35">
      <c r="E72" s="69"/>
      <c r="F72" s="67"/>
    </row>
    <row r="73" spans="2:8" ht="18.5" x14ac:dyDescent="0.45">
      <c r="B73" s="14"/>
      <c r="C73" s="14"/>
      <c r="D73" s="14"/>
      <c r="E73" s="14"/>
      <c r="F73" s="67"/>
    </row>
    <row r="74" spans="2:8" ht="18.5" x14ac:dyDescent="0.45">
      <c r="B74" s="14"/>
      <c r="C74" s="22"/>
      <c r="D74" s="22"/>
      <c r="E74" s="14"/>
      <c r="F74" s="72"/>
      <c r="G74" s="73"/>
      <c r="H74" s="71"/>
    </row>
    <row r="75" spans="2:8" ht="18.5" x14ac:dyDescent="0.45">
      <c r="B75" s="14"/>
      <c r="C75" s="14"/>
      <c r="D75" s="14"/>
      <c r="E75" s="14"/>
      <c r="F75" s="72"/>
      <c r="G75" s="73"/>
      <c r="H75" s="71"/>
    </row>
    <row r="76" spans="2:8" ht="18.5" x14ac:dyDescent="0.45">
      <c r="B76" s="14"/>
      <c r="E76" s="69"/>
      <c r="F76" s="67"/>
    </row>
    <row r="77" spans="2:8" ht="18.5" x14ac:dyDescent="0.45">
      <c r="B77" s="14"/>
      <c r="C77" s="70"/>
      <c r="D77" s="70"/>
      <c r="E77" s="70"/>
    </row>
    <row r="78" spans="2:8" ht="18.5" x14ac:dyDescent="0.45">
      <c r="B78" s="14"/>
      <c r="C78" s="70"/>
      <c r="D78" s="70"/>
      <c r="E78" s="70"/>
    </row>
    <row r="79" spans="2:8" ht="18.5" x14ac:dyDescent="0.45">
      <c r="B79" s="14"/>
      <c r="C79" s="70"/>
      <c r="D79" s="70"/>
      <c r="E79" s="70"/>
    </row>
    <row r="80" spans="2:8" ht="18.5" x14ac:dyDescent="0.45">
      <c r="B80" s="14"/>
      <c r="C80" s="8"/>
      <c r="D80" s="8"/>
      <c r="E80" s="8"/>
    </row>
    <row r="81" spans="2:5" ht="18.5" x14ac:dyDescent="0.45">
      <c r="B81" s="14"/>
      <c r="C81" s="8"/>
      <c r="D81" s="8"/>
      <c r="E81" s="8"/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49"/>
  <sheetViews>
    <sheetView topLeftCell="A26" workbookViewId="0">
      <selection activeCell="F36" sqref="F36"/>
    </sheetView>
  </sheetViews>
  <sheetFormatPr defaultRowHeight="14.5" x14ac:dyDescent="0.35"/>
  <cols>
    <col min="2" max="2" width="53.81640625" customWidth="1"/>
    <col min="3" max="3" width="25.1796875" customWidth="1"/>
    <col min="5" max="5" width="15.7265625" customWidth="1"/>
    <col min="7" max="7" width="16.54296875" customWidth="1"/>
  </cols>
  <sheetData>
    <row r="1" spans="1:8" ht="15.5" x14ac:dyDescent="0.35">
      <c r="A1" s="9"/>
      <c r="B1" s="25" t="s">
        <v>55</v>
      </c>
      <c r="C1" s="9"/>
      <c r="D1" s="9"/>
      <c r="E1" s="161"/>
      <c r="F1" s="161"/>
      <c r="G1" s="161"/>
      <c r="H1" s="161"/>
    </row>
    <row r="2" spans="1:8" ht="15.5" x14ac:dyDescent="0.35">
      <c r="A2" s="26"/>
      <c r="B2" s="27" t="s">
        <v>56</v>
      </c>
      <c r="C2" s="27" t="s">
        <v>57</v>
      </c>
      <c r="D2" s="27"/>
      <c r="E2" s="162" t="s">
        <v>182</v>
      </c>
      <c r="F2" s="162"/>
      <c r="G2" s="162" t="s">
        <v>183</v>
      </c>
      <c r="H2" s="162"/>
    </row>
    <row r="3" spans="1:8" ht="15.5" x14ac:dyDescent="0.35">
      <c r="A3" s="26"/>
      <c r="B3" s="28"/>
      <c r="C3" s="28"/>
      <c r="D3" s="28"/>
      <c r="E3" s="29"/>
      <c r="F3" s="30"/>
      <c r="G3" s="29"/>
      <c r="H3" s="31"/>
    </row>
    <row r="4" spans="1:8" ht="15.5" x14ac:dyDescent="0.35">
      <c r="A4" s="9" t="s">
        <v>58</v>
      </c>
      <c r="B4" s="28" t="s">
        <v>59</v>
      </c>
      <c r="C4" s="32" t="s">
        <v>60</v>
      </c>
      <c r="D4" s="33"/>
      <c r="E4" s="34">
        <f>' P&amp;L'!C30</f>
        <v>1122.1999999999989</v>
      </c>
      <c r="F4" s="35">
        <f>E4/E5</f>
        <v>0.30852004129362842</v>
      </c>
      <c r="G4" s="34">
        <f>' P&amp;L'!D30</f>
        <v>947.89000000000078</v>
      </c>
      <c r="H4" s="35">
        <f>G4/G5</f>
        <v>0.32588882050999979</v>
      </c>
    </row>
    <row r="5" spans="1:8" ht="15.5" x14ac:dyDescent="0.35">
      <c r="A5" s="9"/>
      <c r="B5" s="33"/>
      <c r="C5" s="33" t="s">
        <v>125</v>
      </c>
      <c r="D5" s="33"/>
      <c r="E5" s="36">
        <f>('Balance Sheet'!C11+'Balance Sheet'!D11)/2</f>
        <v>3637.3650000000002</v>
      </c>
      <c r="F5" s="37"/>
      <c r="G5" s="36">
        <f>('Balance Sheet'!D11+'Balance Sheet'!E11)/2</f>
        <v>2908.63</v>
      </c>
      <c r="H5" s="37"/>
    </row>
    <row r="6" spans="1:8" ht="15.5" x14ac:dyDescent="0.35">
      <c r="A6" s="9"/>
      <c r="B6" s="33"/>
      <c r="C6" s="33"/>
      <c r="D6" s="33"/>
      <c r="E6" s="36"/>
      <c r="F6" s="38"/>
      <c r="G6" s="36"/>
      <c r="H6" s="39"/>
    </row>
    <row r="7" spans="1:8" ht="15.5" x14ac:dyDescent="0.35">
      <c r="A7" s="9" t="s">
        <v>61</v>
      </c>
      <c r="B7" s="163" t="s">
        <v>62</v>
      </c>
      <c r="C7" s="32" t="s">
        <v>60</v>
      </c>
      <c r="D7" s="33"/>
      <c r="E7" s="34">
        <f>E4</f>
        <v>1122.1999999999989</v>
      </c>
      <c r="F7" s="35">
        <f>(E7/E8)</f>
        <v>0.10705512547162152</v>
      </c>
      <c r="G7" s="34">
        <f>G4</f>
        <v>947.89000000000078</v>
      </c>
      <c r="H7" s="35">
        <f>(G7/G8)</f>
        <v>0.10105253955951767</v>
      </c>
    </row>
    <row r="8" spans="1:8" ht="15.5" x14ac:dyDescent="0.35">
      <c r="A8" s="9"/>
      <c r="B8" s="163"/>
      <c r="C8" s="33" t="s">
        <v>63</v>
      </c>
      <c r="D8" s="33"/>
      <c r="E8" s="36">
        <f>'Common size P &amp; L '!C8</f>
        <v>10482.449999999999</v>
      </c>
      <c r="F8" s="37"/>
      <c r="G8" s="36">
        <f>'Common size P &amp; L '!E8</f>
        <v>9380.17</v>
      </c>
      <c r="H8" s="40"/>
    </row>
    <row r="9" spans="1:8" ht="15.5" x14ac:dyDescent="0.35">
      <c r="A9" s="9"/>
      <c r="B9" s="33"/>
      <c r="C9" s="33"/>
      <c r="D9" s="33"/>
      <c r="E9" s="36"/>
      <c r="F9" s="41"/>
      <c r="G9" s="36"/>
      <c r="H9" s="42"/>
    </row>
    <row r="10" spans="1:8" ht="15.5" x14ac:dyDescent="0.35">
      <c r="A10" s="9"/>
      <c r="B10" s="33"/>
      <c r="C10" s="33"/>
      <c r="D10" s="33"/>
      <c r="E10" s="36"/>
      <c r="F10" s="38"/>
      <c r="G10" s="36"/>
      <c r="H10" s="39"/>
    </row>
    <row r="11" spans="1:8" ht="15.5" x14ac:dyDescent="0.35">
      <c r="A11" s="9" t="s">
        <v>64</v>
      </c>
      <c r="B11" s="28" t="s">
        <v>65</v>
      </c>
      <c r="C11" s="32" t="s">
        <v>66</v>
      </c>
      <c r="D11" s="33"/>
      <c r="E11" s="34">
        <f>B49</f>
        <v>1135.7683001089661</v>
      </c>
      <c r="F11" s="43">
        <f>E11/E12</f>
        <v>0.10834950799755459</v>
      </c>
      <c r="G11" s="44">
        <f>C49</f>
        <v>969.25550000000044</v>
      </c>
      <c r="H11" s="43">
        <f>G11/G12</f>
        <v>0.10333027013369699</v>
      </c>
    </row>
    <row r="12" spans="1:8" ht="15.5" x14ac:dyDescent="0.35">
      <c r="A12" s="9"/>
      <c r="B12" s="33"/>
      <c r="C12" s="33" t="s">
        <v>63</v>
      </c>
      <c r="D12" s="33"/>
      <c r="E12" s="36">
        <f>E8</f>
        <v>10482.449999999999</v>
      </c>
      <c r="F12" s="37"/>
      <c r="G12" s="36">
        <f>G8</f>
        <v>9380.17</v>
      </c>
      <c r="H12" s="40"/>
    </row>
    <row r="13" spans="1:8" ht="15.5" x14ac:dyDescent="0.35">
      <c r="A13" s="9"/>
      <c r="B13" s="33"/>
      <c r="C13" s="33"/>
      <c r="D13" s="33"/>
      <c r="E13" s="36"/>
      <c r="F13" s="38"/>
      <c r="G13" s="36"/>
      <c r="H13" s="39"/>
    </row>
    <row r="14" spans="1:8" ht="15.5" x14ac:dyDescent="0.35">
      <c r="A14" s="9"/>
      <c r="B14" s="45"/>
      <c r="C14" s="33"/>
      <c r="D14" s="33"/>
      <c r="E14" s="36"/>
      <c r="F14" s="38"/>
      <c r="G14" s="36"/>
      <c r="H14" s="39"/>
    </row>
    <row r="15" spans="1:8" ht="15.5" x14ac:dyDescent="0.35">
      <c r="A15" s="9" t="s">
        <v>67</v>
      </c>
      <c r="B15" s="28" t="s">
        <v>68</v>
      </c>
      <c r="C15" s="32" t="s">
        <v>60</v>
      </c>
      <c r="D15" s="33"/>
      <c r="E15" s="34">
        <f>E4</f>
        <v>1122.1999999999989</v>
      </c>
      <c r="F15" s="46">
        <f>E15/E16</f>
        <v>0.21832111413416164</v>
      </c>
      <c r="G15" s="47">
        <f>G4</f>
        <v>947.89000000000078</v>
      </c>
      <c r="H15" s="46">
        <f>G15/G16</f>
        <v>0.22776400142248901</v>
      </c>
    </row>
    <row r="16" spans="1:8" ht="15.5" x14ac:dyDescent="0.35">
      <c r="A16" s="9"/>
      <c r="B16" s="33"/>
      <c r="C16" s="33" t="s">
        <v>69</v>
      </c>
      <c r="D16" s="33"/>
      <c r="E16" s="36">
        <f>('Balance Sheet'!C60+'Balance Sheet'!D60)/2</f>
        <v>5140.1350000000002</v>
      </c>
      <c r="F16" s="38"/>
      <c r="G16" s="36">
        <f>('Balance Sheet'!D60+'Balance Sheet'!E60)/2</f>
        <v>4161.7199999999993</v>
      </c>
      <c r="H16" s="39"/>
    </row>
    <row r="17" spans="1:8" ht="15.5" x14ac:dyDescent="0.35">
      <c r="A17" s="9"/>
      <c r="B17" s="33"/>
      <c r="C17" s="33"/>
      <c r="D17" s="33"/>
      <c r="E17" s="36"/>
      <c r="F17" s="38"/>
      <c r="G17" s="36"/>
      <c r="H17" s="39"/>
    </row>
    <row r="18" spans="1:8" ht="15.5" x14ac:dyDescent="0.35">
      <c r="A18" s="9"/>
      <c r="B18" s="48" t="s">
        <v>70</v>
      </c>
      <c r="C18" s="32" t="s">
        <v>60</v>
      </c>
      <c r="D18" s="33"/>
      <c r="E18" s="34">
        <f>E4</f>
        <v>1122.1999999999989</v>
      </c>
      <c r="F18" s="35">
        <f>(E18/E19)</f>
        <v>0.10705512547162152</v>
      </c>
      <c r="G18" s="34">
        <f>G4</f>
        <v>947.89000000000078</v>
      </c>
      <c r="H18" s="35">
        <f>(G18/G19)</f>
        <v>0.10105253955951767</v>
      </c>
    </row>
    <row r="19" spans="1:8" ht="15.5" x14ac:dyDescent="0.35">
      <c r="A19" s="9"/>
      <c r="B19" s="48"/>
      <c r="C19" s="33" t="s">
        <v>63</v>
      </c>
      <c r="D19" s="33"/>
      <c r="E19" s="36">
        <f>E8</f>
        <v>10482.449999999999</v>
      </c>
      <c r="F19" s="38"/>
      <c r="G19" s="36">
        <f>G8</f>
        <v>9380.17</v>
      </c>
      <c r="H19" s="38"/>
    </row>
    <row r="20" spans="1:8" ht="15.5" x14ac:dyDescent="0.35">
      <c r="A20" s="9"/>
      <c r="B20" s="48"/>
      <c r="C20" s="33"/>
      <c r="D20" s="33"/>
      <c r="E20" s="36"/>
      <c r="F20" s="38"/>
      <c r="G20" s="36"/>
      <c r="H20" s="39"/>
    </row>
    <row r="21" spans="1:8" ht="15.5" x14ac:dyDescent="0.35">
      <c r="A21" s="9"/>
      <c r="B21" s="48" t="s">
        <v>71</v>
      </c>
      <c r="C21" s="32" t="s">
        <v>63</v>
      </c>
      <c r="D21" s="33"/>
      <c r="E21" s="34">
        <f>E8</f>
        <v>10482.449999999999</v>
      </c>
      <c r="F21" s="49">
        <f>E21/E22</f>
        <v>2.0393335972693323</v>
      </c>
      <c r="G21" s="34">
        <f>G8</f>
        <v>9380.17</v>
      </c>
      <c r="H21" s="49">
        <f>G21/G22</f>
        <v>2.2539166498466985</v>
      </c>
    </row>
    <row r="22" spans="1:8" ht="15.5" x14ac:dyDescent="0.35">
      <c r="A22" s="9"/>
      <c r="B22" s="33"/>
      <c r="C22" s="33" t="s">
        <v>72</v>
      </c>
      <c r="D22" s="33"/>
      <c r="E22" s="36">
        <f>E16</f>
        <v>5140.1350000000002</v>
      </c>
      <c r="F22" s="38"/>
      <c r="G22" s="36">
        <f>G16</f>
        <v>4161.7199999999993</v>
      </c>
      <c r="H22" s="38"/>
    </row>
    <row r="23" spans="1:8" ht="15.5" x14ac:dyDescent="0.35">
      <c r="A23" s="9"/>
      <c r="B23" s="32"/>
      <c r="C23" s="32"/>
      <c r="D23" s="32"/>
      <c r="E23" s="34"/>
      <c r="F23" s="50"/>
      <c r="G23" s="34"/>
      <c r="H23" s="51"/>
    </row>
    <row r="24" spans="1:8" ht="15.5" x14ac:dyDescent="0.35">
      <c r="A24" s="9"/>
      <c r="B24" s="9" t="s">
        <v>73</v>
      </c>
      <c r="C24" s="9"/>
      <c r="D24" s="9"/>
      <c r="E24" s="52"/>
      <c r="F24" s="53"/>
      <c r="G24" s="52"/>
      <c r="H24" s="53"/>
    </row>
    <row r="25" spans="1:8" ht="15.5" x14ac:dyDescent="0.35">
      <c r="A25" s="9"/>
      <c r="B25" s="9"/>
      <c r="C25" s="9"/>
      <c r="D25" s="9"/>
      <c r="E25" s="52"/>
      <c r="F25" s="53"/>
      <c r="G25" s="52"/>
      <c r="H25" s="54"/>
    </row>
    <row r="26" spans="1:8" x14ac:dyDescent="0.35">
      <c r="A26" s="45"/>
      <c r="B26" s="55" t="s">
        <v>126</v>
      </c>
      <c r="C26" s="45"/>
      <c r="D26" s="45"/>
      <c r="E26" s="56"/>
      <c r="F26" s="57"/>
      <c r="G26" s="56"/>
      <c r="H26" s="58"/>
    </row>
    <row r="27" spans="1:8" x14ac:dyDescent="0.35">
      <c r="A27" s="45"/>
      <c r="B27" s="45"/>
      <c r="C27" s="45"/>
      <c r="D27" s="45"/>
      <c r="E27" s="56"/>
      <c r="F27" s="57"/>
      <c r="G27" s="56"/>
      <c r="H27" s="58"/>
    </row>
    <row r="28" spans="1:8" ht="15.5" x14ac:dyDescent="0.35">
      <c r="A28" s="45"/>
      <c r="B28" s="59" t="s">
        <v>74</v>
      </c>
      <c r="C28" s="45"/>
      <c r="D28" s="45"/>
      <c r="E28" s="56"/>
      <c r="F28" s="57"/>
      <c r="G28" s="56"/>
      <c r="H28" s="58"/>
    </row>
    <row r="29" spans="1:8" x14ac:dyDescent="0.35">
      <c r="A29" s="45"/>
      <c r="B29" s="45"/>
      <c r="C29" s="45"/>
      <c r="D29" s="45"/>
      <c r="E29" s="56"/>
      <c r="F29" s="57"/>
      <c r="G29" s="60"/>
      <c r="H29" s="58"/>
    </row>
    <row r="30" spans="1:8" ht="15.5" x14ac:dyDescent="0.35">
      <c r="A30" s="45"/>
      <c r="B30" s="28" t="s">
        <v>59</v>
      </c>
      <c r="C30" s="32" t="s">
        <v>60</v>
      </c>
      <c r="D30" s="33"/>
      <c r="E30" s="34">
        <f>E4</f>
        <v>1122.1999999999989</v>
      </c>
      <c r="F30" s="46">
        <f>E30/E31</f>
        <v>0.30852004129362842</v>
      </c>
      <c r="G30" s="34">
        <f>G4</f>
        <v>947.89000000000078</v>
      </c>
      <c r="H30" s="46">
        <f>G30/G31</f>
        <v>0.32588882050999979</v>
      </c>
    </row>
    <row r="31" spans="1:8" ht="15.5" x14ac:dyDescent="0.35">
      <c r="A31" s="45"/>
      <c r="B31" s="33"/>
      <c r="C31" s="61" t="s">
        <v>75</v>
      </c>
      <c r="D31" s="33"/>
      <c r="E31" s="36">
        <f>E5</f>
        <v>3637.3650000000002</v>
      </c>
      <c r="F31" s="38"/>
      <c r="G31" s="36">
        <f>G5</f>
        <v>2908.63</v>
      </c>
      <c r="H31" s="38"/>
    </row>
    <row r="32" spans="1:8" ht="15.5" x14ac:dyDescent="0.35">
      <c r="A32" s="45"/>
      <c r="B32" s="33"/>
      <c r="C32" s="33"/>
      <c r="D32" s="33"/>
      <c r="E32" s="36"/>
      <c r="F32" s="38"/>
      <c r="G32" s="36"/>
      <c r="H32" s="38"/>
    </row>
    <row r="33" spans="1:8" ht="15.5" x14ac:dyDescent="0.35">
      <c r="A33" s="45"/>
      <c r="B33" s="48" t="s">
        <v>70</v>
      </c>
      <c r="C33" s="32" t="s">
        <v>60</v>
      </c>
      <c r="D33" s="33"/>
      <c r="E33" s="34">
        <f>E7</f>
        <v>1122.1999999999989</v>
      </c>
      <c r="F33" s="35">
        <f>(E33/E34)</f>
        <v>0.10705512547162152</v>
      </c>
      <c r="G33" s="34">
        <f>G7</f>
        <v>947.89000000000078</v>
      </c>
      <c r="H33" s="35">
        <f>(G33/G34)</f>
        <v>0.10105253955951767</v>
      </c>
    </row>
    <row r="34" spans="1:8" ht="15.5" x14ac:dyDescent="0.35">
      <c r="A34" s="45"/>
      <c r="B34" s="48"/>
      <c r="C34" s="33" t="s">
        <v>63</v>
      </c>
      <c r="D34" s="33"/>
      <c r="E34" s="36">
        <f>E8</f>
        <v>10482.449999999999</v>
      </c>
      <c r="F34" s="38"/>
      <c r="G34" s="36">
        <f>G8</f>
        <v>9380.17</v>
      </c>
      <c r="H34" s="38"/>
    </row>
    <row r="35" spans="1:8" ht="15.5" x14ac:dyDescent="0.35">
      <c r="A35" s="45"/>
      <c r="B35" s="48"/>
      <c r="C35" s="33"/>
      <c r="D35" s="33"/>
      <c r="E35" s="36"/>
      <c r="F35" s="38"/>
      <c r="G35" s="36"/>
      <c r="H35" s="38"/>
    </row>
    <row r="36" spans="1:8" ht="15.5" x14ac:dyDescent="0.35">
      <c r="A36" s="45"/>
      <c r="B36" s="48" t="s">
        <v>71</v>
      </c>
      <c r="C36" s="32" t="s">
        <v>63</v>
      </c>
      <c r="D36" s="33"/>
      <c r="E36" s="34">
        <f>E34</f>
        <v>10482.449999999999</v>
      </c>
      <c r="F36" s="62">
        <f>E36/E37</f>
        <v>2.0393335972693323</v>
      </c>
      <c r="G36" s="34">
        <f>G34</f>
        <v>9380.17</v>
      </c>
      <c r="H36" s="62">
        <f>G36/G37</f>
        <v>2.2539166498466985</v>
      </c>
    </row>
    <row r="37" spans="1:8" ht="15.5" x14ac:dyDescent="0.35">
      <c r="A37" s="45"/>
      <c r="B37" s="33"/>
      <c r="C37" s="63" t="s">
        <v>72</v>
      </c>
      <c r="D37" s="33"/>
      <c r="E37" s="36">
        <f>E16</f>
        <v>5140.1350000000002</v>
      </c>
      <c r="F37" s="38"/>
      <c r="G37" s="36">
        <f>G16</f>
        <v>4161.7199999999993</v>
      </c>
      <c r="H37" s="38"/>
    </row>
    <row r="38" spans="1:8" x14ac:dyDescent="0.35">
      <c r="A38" s="45"/>
      <c r="B38" s="45"/>
      <c r="C38" s="45"/>
      <c r="D38" s="45"/>
      <c r="E38" s="56"/>
      <c r="F38" s="57"/>
      <c r="G38" s="56"/>
      <c r="H38" s="57"/>
    </row>
    <row r="39" spans="1:8" x14ac:dyDescent="0.35">
      <c r="A39" s="45"/>
      <c r="B39" s="45"/>
      <c r="C39" s="45"/>
      <c r="D39" s="45"/>
      <c r="E39" s="56"/>
      <c r="F39" s="57"/>
      <c r="G39" s="56"/>
      <c r="H39" s="57"/>
    </row>
    <row r="40" spans="1:8" ht="15.5" x14ac:dyDescent="0.35">
      <c r="A40" s="45"/>
      <c r="B40" s="64" t="s">
        <v>76</v>
      </c>
      <c r="C40" s="63" t="s">
        <v>72</v>
      </c>
      <c r="D40" s="45"/>
      <c r="E40" s="65">
        <f>E37</f>
        <v>5140.1350000000002</v>
      </c>
      <c r="F40" s="62">
        <f>E40/E41</f>
        <v>1.4131479793751796</v>
      </c>
      <c r="G40" s="65">
        <f>G37</f>
        <v>4161.7199999999993</v>
      </c>
      <c r="H40" s="62">
        <f>G40/G41</f>
        <v>1.4308179452181953</v>
      </c>
    </row>
    <row r="41" spans="1:8" x14ac:dyDescent="0.35">
      <c r="A41" s="45"/>
      <c r="B41" s="45"/>
      <c r="C41" s="61" t="s">
        <v>75</v>
      </c>
      <c r="D41" s="45"/>
      <c r="E41" s="56">
        <f>E5</f>
        <v>3637.3650000000002</v>
      </c>
      <c r="F41" s="57"/>
      <c r="G41" s="56">
        <f>G5</f>
        <v>2908.63</v>
      </c>
      <c r="H41" s="57"/>
    </row>
    <row r="46" spans="1:8" x14ac:dyDescent="0.35">
      <c r="B46" t="s">
        <v>66</v>
      </c>
    </row>
    <row r="48" spans="1:8" x14ac:dyDescent="0.35">
      <c r="B48" s="67">
        <f>' P&amp;L'!C22+' P&amp;L'!C17</f>
        <v>1717.6499999999987</v>
      </c>
      <c r="C48" s="67">
        <f>' P&amp;L'!D22+' P&amp;L'!D17</f>
        <v>1446.6500000000008</v>
      </c>
    </row>
    <row r="49" spans="2:3" x14ac:dyDescent="0.35">
      <c r="B49" s="169">
        <f>B48*(1-' P&amp;L'!G26)</f>
        <v>1135.7683001089661</v>
      </c>
      <c r="C49" s="170">
        <f>C48*(1-0.33)</f>
        <v>969.25550000000044</v>
      </c>
    </row>
  </sheetData>
  <mergeCells count="4">
    <mergeCell ref="E1:H1"/>
    <mergeCell ref="G2:H2"/>
    <mergeCell ref="B7:B8"/>
    <mergeCell ref="E2:F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967B2-4D9F-4F81-A526-A52F231E2C72}">
  <dimension ref="A1:G16"/>
  <sheetViews>
    <sheetView topLeftCell="A18" workbookViewId="0">
      <selection activeCell="I9" sqref="I9"/>
    </sheetView>
  </sheetViews>
  <sheetFormatPr defaultRowHeight="14.5" x14ac:dyDescent="0.35"/>
  <cols>
    <col min="1" max="1" width="28.7265625" customWidth="1"/>
    <col min="3" max="3" width="15.7265625" style="159" customWidth="1"/>
    <col min="4" max="4" width="13.26953125" style="159" customWidth="1"/>
  </cols>
  <sheetData>
    <row r="1" spans="1:7" x14ac:dyDescent="0.35">
      <c r="A1" t="s">
        <v>55</v>
      </c>
    </row>
    <row r="2" spans="1:7" ht="15.5" customHeight="1" x14ac:dyDescent="0.35">
      <c r="A2" t="s">
        <v>186</v>
      </c>
      <c r="C2" s="160" t="s">
        <v>182</v>
      </c>
      <c r="D2" s="158" t="s">
        <v>183</v>
      </c>
      <c r="G2" t="s">
        <v>187</v>
      </c>
    </row>
    <row r="4" spans="1:7" x14ac:dyDescent="0.35">
      <c r="A4" t="s">
        <v>59</v>
      </c>
      <c r="C4" s="159">
        <v>0.30852004129362842</v>
      </c>
      <c r="D4" s="159">
        <v>0.32588882050999979</v>
      </c>
    </row>
    <row r="7" spans="1:7" x14ac:dyDescent="0.35">
      <c r="A7" t="s">
        <v>62</v>
      </c>
      <c r="C7" s="159">
        <v>0.10705512547162152</v>
      </c>
      <c r="D7" s="159">
        <v>0.10105253955951767</v>
      </c>
    </row>
    <row r="10" spans="1:7" x14ac:dyDescent="0.35">
      <c r="A10" t="s">
        <v>68</v>
      </c>
      <c r="C10" s="159">
        <v>0.21832111413416164</v>
      </c>
      <c r="D10" s="159">
        <v>0.22776400142248901</v>
      </c>
    </row>
    <row r="13" spans="1:7" x14ac:dyDescent="0.35">
      <c r="A13" t="s">
        <v>70</v>
      </c>
      <c r="C13" s="159">
        <v>0.10705512547162152</v>
      </c>
      <c r="D13" s="159">
        <v>0.10105253955951767</v>
      </c>
    </row>
    <row r="16" spans="1:7" x14ac:dyDescent="0.35">
      <c r="A16" t="s">
        <v>71</v>
      </c>
      <c r="C16" s="159">
        <v>2.0393335972693323</v>
      </c>
      <c r="D16" s="159">
        <v>2.2539166498466985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29"/>
  <sheetViews>
    <sheetView topLeftCell="A24" workbookViewId="0">
      <selection activeCell="E28" sqref="E28"/>
    </sheetView>
  </sheetViews>
  <sheetFormatPr defaultRowHeight="14.5" x14ac:dyDescent="0.35"/>
  <cols>
    <col min="1" max="1" width="5.26953125" customWidth="1"/>
    <col min="2" max="2" width="37.453125" customWidth="1"/>
    <col min="3" max="3" width="26.1796875" customWidth="1"/>
    <col min="4" max="4" width="12.81640625" customWidth="1"/>
    <col min="7" max="7" width="13.81640625" customWidth="1"/>
  </cols>
  <sheetData>
    <row r="1" spans="1:12" x14ac:dyDescent="0.35">
      <c r="B1" s="19"/>
      <c r="C1" s="19"/>
      <c r="D1" s="19"/>
      <c r="E1" s="19"/>
      <c r="F1" s="19"/>
      <c r="G1" s="76"/>
      <c r="H1" s="76"/>
      <c r="I1" s="76"/>
      <c r="J1" s="76"/>
      <c r="K1" s="164"/>
      <c r="L1" s="165"/>
    </row>
    <row r="2" spans="1:12" x14ac:dyDescent="0.35">
      <c r="B2" s="77" t="s">
        <v>77</v>
      </c>
      <c r="C2" s="19"/>
      <c r="D2" s="19"/>
      <c r="E2" s="19"/>
      <c r="F2" s="19"/>
      <c r="G2" s="76"/>
      <c r="H2" s="76"/>
      <c r="I2" s="76"/>
      <c r="J2" s="76"/>
      <c r="K2" s="166"/>
      <c r="L2" s="167"/>
    </row>
    <row r="3" spans="1:12" x14ac:dyDescent="0.35">
      <c r="G3" s="76"/>
      <c r="H3" s="76"/>
      <c r="I3" s="76"/>
      <c r="J3" s="76"/>
      <c r="K3" s="76"/>
      <c r="L3" s="76"/>
    </row>
    <row r="4" spans="1:12" x14ac:dyDescent="0.35">
      <c r="B4" s="78" t="s">
        <v>55</v>
      </c>
      <c r="G4" s="79"/>
      <c r="H4" s="79"/>
      <c r="I4" s="79"/>
      <c r="J4" s="79"/>
      <c r="K4" s="79"/>
      <c r="L4" s="79"/>
    </row>
    <row r="5" spans="1:12" ht="15.5" x14ac:dyDescent="0.35">
      <c r="B5" s="80" t="s">
        <v>56</v>
      </c>
      <c r="C5" s="80" t="s">
        <v>57</v>
      </c>
      <c r="D5" s="162" t="s">
        <v>182</v>
      </c>
      <c r="E5" s="162"/>
      <c r="F5" s="81"/>
      <c r="G5" s="168" t="s">
        <v>184</v>
      </c>
      <c r="H5" s="168"/>
      <c r="I5" s="168"/>
      <c r="J5" s="168"/>
      <c r="K5" s="168"/>
      <c r="L5" s="168"/>
    </row>
    <row r="6" spans="1:12" x14ac:dyDescent="0.35">
      <c r="B6" s="63"/>
      <c r="C6" s="63"/>
      <c r="D6" s="63"/>
      <c r="E6" s="82"/>
      <c r="F6" s="82"/>
      <c r="G6" s="83"/>
      <c r="H6" s="84"/>
      <c r="I6" s="85"/>
      <c r="J6" s="83"/>
      <c r="K6" s="84"/>
      <c r="L6" s="85"/>
    </row>
    <row r="7" spans="1:12" x14ac:dyDescent="0.35">
      <c r="A7" t="s">
        <v>58</v>
      </c>
      <c r="B7" s="63" t="s">
        <v>78</v>
      </c>
      <c r="C7" s="63" t="s">
        <v>79</v>
      </c>
      <c r="D7" s="86">
        <f>'Balance Sheet'!C59</f>
        <v>3070.2700000000004</v>
      </c>
      <c r="E7" s="76">
        <f>D7/D8</f>
        <v>1.9403106751940145</v>
      </c>
      <c r="F7" s="87" t="s">
        <v>80</v>
      </c>
      <c r="G7" s="86">
        <f>'Balance Sheet'!D59</f>
        <v>2767.52</v>
      </c>
      <c r="H7" s="76">
        <f>G7/G8</f>
        <v>2.025958434295001</v>
      </c>
      <c r="I7" s="87" t="s">
        <v>80</v>
      </c>
      <c r="J7" s="86"/>
      <c r="K7" s="76"/>
      <c r="L7" s="87"/>
    </row>
    <row r="8" spans="1:12" x14ac:dyDescent="0.35">
      <c r="B8" s="63"/>
      <c r="C8" s="61" t="s">
        <v>81</v>
      </c>
      <c r="D8" s="83">
        <f>'Balance Sheet'!C31</f>
        <v>1582.36</v>
      </c>
      <c r="E8" s="76"/>
      <c r="F8" s="87"/>
      <c r="G8" s="83">
        <f>'Balance Sheet'!D31</f>
        <v>1366.0299999999997</v>
      </c>
      <c r="H8" s="76"/>
      <c r="I8" s="87"/>
      <c r="J8" s="83"/>
      <c r="K8" s="76"/>
      <c r="L8" s="87"/>
    </row>
    <row r="9" spans="1:12" x14ac:dyDescent="0.35">
      <c r="B9" s="63"/>
      <c r="C9" s="63"/>
      <c r="D9" s="86"/>
      <c r="E9" s="76"/>
      <c r="F9" s="87"/>
      <c r="G9" s="86"/>
      <c r="H9" s="76"/>
      <c r="I9" s="87"/>
      <c r="J9" s="86"/>
      <c r="K9" s="76"/>
      <c r="L9" s="87"/>
    </row>
    <row r="10" spans="1:12" x14ac:dyDescent="0.35">
      <c r="A10" t="s">
        <v>61</v>
      </c>
      <c r="B10" s="63" t="s">
        <v>82</v>
      </c>
      <c r="C10" s="63" t="s">
        <v>83</v>
      </c>
      <c r="D10" s="86">
        <f>D7-'Balance Sheet'!C50</f>
        <v>2351.3800000000006</v>
      </c>
      <c r="E10" s="76">
        <f>D10/D11</f>
        <v>1.4859956015066109</v>
      </c>
      <c r="F10" s="87" t="s">
        <v>80</v>
      </c>
      <c r="G10" s="86">
        <f>G7-'Balance Sheet'!D50</f>
        <v>2172.94</v>
      </c>
      <c r="H10" s="76">
        <f>G10/G11</f>
        <v>1.5906971296384416</v>
      </c>
      <c r="I10" s="87" t="s">
        <v>80</v>
      </c>
      <c r="J10" s="86"/>
      <c r="K10" s="76"/>
      <c r="L10" s="87"/>
    </row>
    <row r="11" spans="1:12" x14ac:dyDescent="0.35">
      <c r="B11" s="63"/>
      <c r="C11" s="61" t="s">
        <v>84</v>
      </c>
      <c r="D11" s="83">
        <f>D8</f>
        <v>1582.36</v>
      </c>
      <c r="E11" s="76"/>
      <c r="F11" s="87"/>
      <c r="G11" s="83">
        <f>G8</f>
        <v>1366.0299999999997</v>
      </c>
      <c r="H11" s="76"/>
      <c r="I11" s="87"/>
      <c r="J11" s="83"/>
      <c r="K11" s="76"/>
      <c r="L11" s="87"/>
    </row>
    <row r="12" spans="1:12" x14ac:dyDescent="0.35">
      <c r="B12" s="88"/>
      <c r="C12" s="88"/>
      <c r="D12" s="89"/>
      <c r="E12" s="90"/>
      <c r="F12" s="91"/>
      <c r="G12" s="89"/>
      <c r="H12" s="90"/>
      <c r="I12" s="91"/>
      <c r="J12" s="89"/>
      <c r="K12" s="90"/>
      <c r="L12" s="91"/>
    </row>
    <row r="13" spans="1:12" ht="16" thickBot="1" x14ac:dyDescent="0.4">
      <c r="A13" t="s">
        <v>64</v>
      </c>
      <c r="B13" s="33" t="s">
        <v>85</v>
      </c>
      <c r="C13" s="92" t="s">
        <v>63</v>
      </c>
      <c r="D13" s="93">
        <f>'Common size P &amp; L '!C8</f>
        <v>10482.449999999999</v>
      </c>
      <c r="E13" s="94">
        <f>D13/D14</f>
        <v>15.961460863209664</v>
      </c>
      <c r="F13" s="95" t="s">
        <v>86</v>
      </c>
      <c r="G13" s="93">
        <f>'Common size P &amp; L '!E8</f>
        <v>9380.17</v>
      </c>
      <c r="H13" s="94">
        <f>G13/G14</f>
        <v>15.670311312323022</v>
      </c>
      <c r="I13" s="95" t="s">
        <v>86</v>
      </c>
      <c r="J13" s="93"/>
      <c r="K13" s="94"/>
      <c r="L13" s="95"/>
    </row>
    <row r="14" spans="1:12" ht="15.5" x14ac:dyDescent="0.35">
      <c r="A14" s="45"/>
      <c r="B14" s="33"/>
      <c r="C14" s="33" t="s">
        <v>87</v>
      </c>
      <c r="D14" s="96">
        <f>('Balance Sheet'!C50+'Balance Sheet'!D50)/2</f>
        <v>656.73500000000001</v>
      </c>
      <c r="E14" s="94"/>
      <c r="F14" s="95"/>
      <c r="G14" s="96">
        <f>('Balance Sheet'!D50+'Balance Sheet'!E50)/2</f>
        <v>598.59500000000003</v>
      </c>
      <c r="H14" s="94"/>
      <c r="I14" s="95"/>
      <c r="J14" s="96"/>
      <c r="K14" s="94"/>
      <c r="L14" s="95"/>
    </row>
    <row r="15" spans="1:12" ht="15.5" x14ac:dyDescent="0.35">
      <c r="A15" s="45"/>
      <c r="B15" s="33"/>
      <c r="C15" s="33"/>
      <c r="D15" s="97"/>
      <c r="E15" s="94"/>
      <c r="F15" s="95"/>
      <c r="G15" s="97"/>
      <c r="H15" s="94"/>
      <c r="I15" s="95"/>
      <c r="J15" s="97"/>
      <c r="K15" s="94"/>
      <c r="L15" s="95"/>
    </row>
    <row r="16" spans="1:12" ht="16" thickBot="1" x14ac:dyDescent="0.4">
      <c r="A16" s="45" t="s">
        <v>67</v>
      </c>
      <c r="B16" s="33" t="s">
        <v>88</v>
      </c>
      <c r="C16" s="92" t="s">
        <v>89</v>
      </c>
      <c r="D16" s="98">
        <v>365</v>
      </c>
      <c r="E16" s="94">
        <f>D16/D17</f>
        <v>22.867581052139531</v>
      </c>
      <c r="F16" s="95" t="s">
        <v>90</v>
      </c>
      <c r="G16" s="98">
        <v>365</v>
      </c>
      <c r="H16" s="94">
        <f>G16/G17</f>
        <v>23.292453654891116</v>
      </c>
      <c r="I16" s="95" t="s">
        <v>90</v>
      </c>
      <c r="J16" s="98"/>
      <c r="K16" s="94"/>
      <c r="L16" s="95"/>
    </row>
    <row r="17" spans="1:12" ht="15.5" x14ac:dyDescent="0.35">
      <c r="A17" s="45"/>
      <c r="B17" s="33"/>
      <c r="C17" s="33" t="s">
        <v>85</v>
      </c>
      <c r="D17" s="99">
        <f>E13</f>
        <v>15.961460863209664</v>
      </c>
      <c r="E17" s="94"/>
      <c r="F17" s="95"/>
      <c r="G17" s="99">
        <f>H13</f>
        <v>15.670311312323022</v>
      </c>
      <c r="H17" s="94"/>
      <c r="I17" s="95"/>
      <c r="J17" s="99"/>
      <c r="K17" s="94"/>
      <c r="L17" s="95"/>
    </row>
    <row r="18" spans="1:12" ht="15.5" x14ac:dyDescent="0.35">
      <c r="A18" s="45"/>
      <c r="B18" s="33"/>
      <c r="C18" s="33"/>
      <c r="D18" s="97"/>
      <c r="E18" s="94"/>
      <c r="F18" s="95"/>
      <c r="G18" s="97"/>
      <c r="H18" s="94"/>
      <c r="I18" s="95"/>
      <c r="J18" s="97"/>
      <c r="K18" s="94"/>
      <c r="L18" s="95"/>
    </row>
    <row r="19" spans="1:12" ht="16" thickBot="1" x14ac:dyDescent="0.4">
      <c r="A19" s="45" t="s">
        <v>91</v>
      </c>
      <c r="B19" s="33" t="s">
        <v>92</v>
      </c>
      <c r="C19" s="92" t="s">
        <v>93</v>
      </c>
      <c r="D19" s="93">
        <f>D13</f>
        <v>10482.449999999999</v>
      </c>
      <c r="E19" s="190">
        <f>D19/D20</f>
        <v>36.066783649876136</v>
      </c>
      <c r="F19" s="95" t="s">
        <v>86</v>
      </c>
      <c r="G19" s="93">
        <f>G13</f>
        <v>9380.17</v>
      </c>
      <c r="H19" s="190">
        <f>G19/G20</f>
        <v>52.589745746082471</v>
      </c>
      <c r="I19" s="95" t="s">
        <v>86</v>
      </c>
      <c r="J19" s="93"/>
      <c r="K19" s="94"/>
      <c r="L19" s="95"/>
    </row>
    <row r="20" spans="1:12" ht="15.5" x14ac:dyDescent="0.35">
      <c r="A20" s="45"/>
      <c r="B20" s="33"/>
      <c r="C20" s="33" t="s">
        <v>94</v>
      </c>
      <c r="D20" s="96">
        <f>('Balance Sheet'!C53+'Balance Sheet'!D53)/2</f>
        <v>290.64</v>
      </c>
      <c r="E20" s="94"/>
      <c r="F20" s="95"/>
      <c r="G20" s="96">
        <f>('Balance Sheet'!D53+'Balance Sheet'!E53)/2</f>
        <v>178.36500000000001</v>
      </c>
      <c r="H20" s="94"/>
      <c r="I20" s="95"/>
      <c r="J20" s="96"/>
      <c r="K20" s="94"/>
      <c r="L20" s="95"/>
    </row>
    <row r="21" spans="1:12" ht="15.5" x14ac:dyDescent="0.35">
      <c r="A21" s="45"/>
      <c r="B21" s="33"/>
      <c r="C21" s="33"/>
      <c r="D21" s="97"/>
      <c r="E21" s="94"/>
      <c r="F21" s="95"/>
      <c r="G21" s="97"/>
      <c r="H21" s="94"/>
      <c r="I21" s="95"/>
      <c r="J21" s="97"/>
      <c r="K21" s="94"/>
      <c r="L21" s="95"/>
    </row>
    <row r="22" spans="1:12" ht="16" thickBot="1" x14ac:dyDescent="0.4">
      <c r="A22" s="45" t="s">
        <v>95</v>
      </c>
      <c r="B22" s="33" t="s">
        <v>96</v>
      </c>
      <c r="C22" s="92" t="s">
        <v>89</v>
      </c>
      <c r="D22" s="98">
        <v>365</v>
      </c>
      <c r="E22" s="190">
        <f>D22/D23</f>
        <v>10.120115049439777</v>
      </c>
      <c r="F22" s="95" t="s">
        <v>90</v>
      </c>
      <c r="G22" s="98">
        <v>365</v>
      </c>
      <c r="H22" s="190">
        <f>G22/G23</f>
        <v>6.9405165364806818</v>
      </c>
      <c r="I22" s="95" t="s">
        <v>90</v>
      </c>
      <c r="J22" s="98"/>
      <c r="K22" s="94"/>
      <c r="L22" s="95"/>
    </row>
    <row r="23" spans="1:12" ht="15.5" x14ac:dyDescent="0.35">
      <c r="A23" s="45"/>
      <c r="B23" s="33"/>
      <c r="C23" s="33" t="s">
        <v>92</v>
      </c>
      <c r="D23" s="99">
        <f>E19</f>
        <v>36.066783649876136</v>
      </c>
      <c r="E23" s="99"/>
      <c r="F23" s="99"/>
      <c r="G23" s="99">
        <f>H19</f>
        <v>52.589745746082471</v>
      </c>
      <c r="H23" s="9"/>
      <c r="I23" s="100"/>
      <c r="J23" s="99"/>
      <c r="K23" s="9"/>
      <c r="L23" s="100"/>
    </row>
    <row r="24" spans="1:12" ht="15.5" x14ac:dyDescent="0.35">
      <c r="A24" s="45"/>
      <c r="B24" s="45"/>
      <c r="C24" s="45"/>
      <c r="D24" s="9"/>
      <c r="E24" s="9"/>
      <c r="F24" s="9"/>
      <c r="G24" s="9"/>
      <c r="H24" s="9"/>
      <c r="I24" s="9"/>
      <c r="J24" s="33"/>
      <c r="K24" s="9"/>
      <c r="L24" s="9"/>
    </row>
    <row r="25" spans="1:12" ht="15.5" x14ac:dyDescent="0.35">
      <c r="A25" s="45"/>
      <c r="B25" s="45"/>
      <c r="C25" s="32"/>
      <c r="D25" s="101"/>
      <c r="E25" s="45"/>
      <c r="F25" s="95"/>
      <c r="G25" s="101"/>
      <c r="H25" s="101"/>
      <c r="I25" s="102"/>
      <c r="J25" s="102"/>
      <c r="K25" s="102"/>
      <c r="L25" s="102"/>
    </row>
    <row r="26" spans="1:12" x14ac:dyDescent="0.35">
      <c r="A26" s="45"/>
      <c r="B26" s="45"/>
      <c r="C26" s="45"/>
      <c r="D26" s="103"/>
      <c r="E26" s="45"/>
      <c r="F26" s="45"/>
      <c r="G26" s="103"/>
      <c r="H26" s="102"/>
      <c r="I26" s="102"/>
      <c r="J26" s="102"/>
      <c r="K26" s="102"/>
      <c r="L26" s="102"/>
    </row>
    <row r="27" spans="1:12" x14ac:dyDescent="0.35">
      <c r="A27" s="45"/>
      <c r="B27" s="45"/>
      <c r="C27" s="45"/>
      <c r="D27" s="45"/>
      <c r="E27" s="45"/>
      <c r="F27" s="45"/>
      <c r="G27" s="102"/>
      <c r="H27" s="102"/>
      <c r="I27" s="102"/>
      <c r="J27" s="102"/>
      <c r="K27" s="102"/>
      <c r="L27" s="102"/>
    </row>
    <row r="28" spans="1:12" ht="15.5" x14ac:dyDescent="0.35">
      <c r="A28" s="45"/>
      <c r="B28" s="104" t="s">
        <v>97</v>
      </c>
      <c r="C28" s="45"/>
      <c r="D28" s="45"/>
      <c r="E28" s="105">
        <f>E16+E22</f>
        <v>32.98769610157931</v>
      </c>
      <c r="F28" s="95" t="s">
        <v>90</v>
      </c>
      <c r="G28" s="102"/>
      <c r="H28" s="105">
        <f>H16+H22</f>
        <v>30.232970191371798</v>
      </c>
      <c r="I28" s="95" t="s">
        <v>90</v>
      </c>
      <c r="J28" s="102"/>
      <c r="K28" s="106"/>
      <c r="L28" s="95"/>
    </row>
    <row r="29" spans="1:12" x14ac:dyDescent="0.35">
      <c r="A29" s="45"/>
      <c r="B29" s="45"/>
      <c r="C29" s="45"/>
      <c r="D29" s="45"/>
      <c r="E29" s="45"/>
      <c r="F29" s="45"/>
      <c r="G29" s="102"/>
      <c r="H29" s="102"/>
      <c r="I29" s="102"/>
      <c r="J29" s="102"/>
      <c r="K29" s="102"/>
      <c r="L29" s="102"/>
    </row>
  </sheetData>
  <mergeCells count="4">
    <mergeCell ref="K1:L2"/>
    <mergeCell ref="D5:E5"/>
    <mergeCell ref="G5:I5"/>
    <mergeCell ref="J5:L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19"/>
  <sheetViews>
    <sheetView topLeftCell="A4" workbookViewId="0">
      <selection activeCell="F17" sqref="F17"/>
    </sheetView>
  </sheetViews>
  <sheetFormatPr defaultRowHeight="14.5" x14ac:dyDescent="0.35"/>
  <cols>
    <col min="1" max="1" width="4.81640625" customWidth="1"/>
    <col min="2" max="2" width="31.26953125" customWidth="1"/>
    <col min="3" max="3" width="32.26953125" customWidth="1"/>
    <col min="5" max="5" width="15.1796875" customWidth="1"/>
    <col min="6" max="6" width="11" customWidth="1"/>
    <col min="8" max="8" width="12.7265625" customWidth="1"/>
  </cols>
  <sheetData>
    <row r="1" spans="1:13" x14ac:dyDescent="0.35">
      <c r="B1" s="19"/>
      <c r="C1" s="19"/>
      <c r="D1" s="19"/>
      <c r="E1" s="107"/>
      <c r="F1" s="107"/>
      <c r="G1" s="107"/>
      <c r="H1" s="107"/>
      <c r="I1" s="164"/>
      <c r="J1" s="165"/>
      <c r="L1" s="45"/>
      <c r="M1" s="45"/>
    </row>
    <row r="2" spans="1:13" x14ac:dyDescent="0.35">
      <c r="B2" s="77" t="s">
        <v>98</v>
      </c>
      <c r="C2" s="19"/>
      <c r="D2" s="19"/>
      <c r="E2" s="107"/>
      <c r="F2" s="107"/>
      <c r="G2" s="107"/>
      <c r="H2" s="107"/>
      <c r="I2" s="166"/>
      <c r="J2" s="167"/>
      <c r="L2" s="45"/>
      <c r="M2" s="45"/>
    </row>
    <row r="3" spans="1:13" x14ac:dyDescent="0.35">
      <c r="E3" s="107"/>
      <c r="F3" s="107"/>
      <c r="G3" s="107"/>
      <c r="H3" s="107"/>
      <c r="I3" s="107"/>
      <c r="J3" s="107"/>
      <c r="L3" s="45"/>
      <c r="M3" s="45"/>
    </row>
    <row r="4" spans="1:13" x14ac:dyDescent="0.35">
      <c r="B4" s="78" t="s">
        <v>55</v>
      </c>
      <c r="E4" s="79"/>
      <c r="F4" s="79"/>
      <c r="G4" s="79"/>
      <c r="H4" s="79"/>
      <c r="I4" s="79"/>
      <c r="J4" s="79"/>
      <c r="L4" s="45"/>
      <c r="M4" s="45"/>
    </row>
    <row r="5" spans="1:13" ht="15.5" x14ac:dyDescent="0.35">
      <c r="B5" s="80" t="s">
        <v>56</v>
      </c>
      <c r="C5" s="80" t="s">
        <v>57</v>
      </c>
      <c r="D5" s="108"/>
      <c r="E5" s="162" t="s">
        <v>182</v>
      </c>
      <c r="F5" s="162"/>
      <c r="G5" s="81"/>
      <c r="H5" s="168" t="s">
        <v>184</v>
      </c>
      <c r="I5" s="168"/>
      <c r="J5" s="168"/>
      <c r="L5" s="45"/>
      <c r="M5" s="45"/>
    </row>
    <row r="6" spans="1:13" x14ac:dyDescent="0.35">
      <c r="B6" s="63"/>
      <c r="C6" s="63"/>
      <c r="D6" s="63"/>
      <c r="E6" s="109"/>
      <c r="F6" s="110"/>
      <c r="G6" s="111"/>
      <c r="H6" s="109"/>
      <c r="I6" s="110"/>
      <c r="J6" s="111"/>
      <c r="L6" s="45"/>
      <c r="M6" s="45"/>
    </row>
    <row r="7" spans="1:13" x14ac:dyDescent="0.35">
      <c r="A7" t="s">
        <v>58</v>
      </c>
      <c r="B7" s="63" t="s">
        <v>99</v>
      </c>
      <c r="C7" s="88" t="s">
        <v>124</v>
      </c>
      <c r="D7" s="63"/>
      <c r="E7" s="112">
        <f>'Balance Sheet'!C15+'Balance Sheet'!C22</f>
        <v>0.26</v>
      </c>
      <c r="F7" s="107"/>
      <c r="G7" s="113"/>
      <c r="H7" s="112">
        <f>'Balance Sheet'!D15+'Balance Sheet'!D22</f>
        <v>9.31</v>
      </c>
      <c r="I7" s="107"/>
      <c r="J7" s="113"/>
      <c r="L7" s="45"/>
      <c r="M7" s="45"/>
    </row>
    <row r="8" spans="1:13" x14ac:dyDescent="0.35">
      <c r="B8" s="63"/>
      <c r="C8" s="63" t="s">
        <v>100</v>
      </c>
      <c r="D8" s="63"/>
      <c r="E8" s="114">
        <f>E12</f>
        <v>4039.4500000000003</v>
      </c>
      <c r="F8" s="107"/>
      <c r="G8" s="113"/>
      <c r="H8" s="114">
        <f>H12</f>
        <v>3235.28</v>
      </c>
      <c r="I8" s="107"/>
      <c r="J8" s="113"/>
      <c r="L8" s="45"/>
      <c r="M8" s="45"/>
    </row>
    <row r="9" spans="1:13" x14ac:dyDescent="0.35">
      <c r="B9" s="63"/>
      <c r="C9" s="63"/>
      <c r="D9" s="63"/>
      <c r="E9" s="114"/>
      <c r="F9" s="107"/>
      <c r="G9" s="113"/>
      <c r="H9" s="114"/>
      <c r="I9" s="107"/>
      <c r="J9" s="113"/>
      <c r="L9" s="45"/>
      <c r="M9" s="45"/>
    </row>
    <row r="10" spans="1:13" x14ac:dyDescent="0.35">
      <c r="B10" s="63"/>
      <c r="C10" s="63"/>
      <c r="D10" s="63"/>
      <c r="E10" s="114"/>
      <c r="F10" s="107"/>
      <c r="G10" s="113"/>
      <c r="H10" s="114"/>
      <c r="I10" s="107"/>
      <c r="J10" s="113"/>
      <c r="L10" s="45"/>
      <c r="M10" s="45"/>
    </row>
    <row r="11" spans="1:13" x14ac:dyDescent="0.35">
      <c r="A11" t="s">
        <v>61</v>
      </c>
      <c r="B11" s="63" t="s">
        <v>101</v>
      </c>
      <c r="C11" s="88" t="s">
        <v>102</v>
      </c>
      <c r="D11" s="63"/>
      <c r="E11" s="114">
        <f>'Balance Sheet'!C32</f>
        <v>1613.52</v>
      </c>
      <c r="F11" s="107">
        <f>E11/E12</f>
        <v>0.39944051789228729</v>
      </c>
      <c r="G11" s="113" t="s">
        <v>80</v>
      </c>
      <c r="H11" s="114">
        <f>'Balance Sheet'!D32</f>
        <v>1392.0199999999998</v>
      </c>
      <c r="I11" s="107">
        <f>H11/H12</f>
        <v>0.43026260478227529</v>
      </c>
      <c r="J11" s="113" t="s">
        <v>80</v>
      </c>
      <c r="L11" s="45"/>
      <c r="M11" s="45"/>
    </row>
    <row r="12" spans="1:13" x14ac:dyDescent="0.35">
      <c r="B12" s="63"/>
      <c r="C12" s="63" t="s">
        <v>100</v>
      </c>
      <c r="D12" s="63"/>
      <c r="E12" s="109">
        <f>'Balance Sheet'!C11</f>
        <v>4039.4500000000003</v>
      </c>
      <c r="F12" s="107"/>
      <c r="G12" s="113"/>
      <c r="H12" s="109">
        <f>'Balance Sheet'!D11</f>
        <v>3235.28</v>
      </c>
      <c r="I12" s="107"/>
      <c r="J12" s="113"/>
      <c r="L12" s="45"/>
      <c r="M12" s="45"/>
    </row>
    <row r="13" spans="1:13" x14ac:dyDescent="0.35">
      <c r="B13" s="63"/>
      <c r="C13" s="63"/>
      <c r="D13" s="63"/>
      <c r="E13" s="114"/>
      <c r="F13" s="107"/>
      <c r="G13" s="113"/>
      <c r="H13" s="114"/>
      <c r="I13" s="107"/>
      <c r="J13" s="113"/>
      <c r="L13" s="45"/>
      <c r="M13" s="45"/>
    </row>
    <row r="14" spans="1:13" x14ac:dyDescent="0.35">
      <c r="A14" t="s">
        <v>64</v>
      </c>
      <c r="B14" s="63" t="s">
        <v>103</v>
      </c>
      <c r="C14" s="63" t="s">
        <v>104</v>
      </c>
      <c r="D14" s="63"/>
      <c r="E14" s="114">
        <f>'Balance Sheet'!C60</f>
        <v>5652.9700000000012</v>
      </c>
      <c r="F14" s="107">
        <f>E14/E15</f>
        <v>1.3994405178922875</v>
      </c>
      <c r="G14" s="113" t="s">
        <v>80</v>
      </c>
      <c r="H14" s="114">
        <f>'Balance Sheet'!D60</f>
        <v>4627.2999999999993</v>
      </c>
      <c r="I14" s="107">
        <f>H14/H15</f>
        <v>1.4302626047822751</v>
      </c>
      <c r="J14" s="113" t="s">
        <v>80</v>
      </c>
      <c r="L14" s="45"/>
      <c r="M14" s="45"/>
    </row>
    <row r="15" spans="1:13" x14ac:dyDescent="0.35">
      <c r="B15" s="63"/>
      <c r="C15" s="61" t="s">
        <v>105</v>
      </c>
      <c r="D15" s="63"/>
      <c r="E15" s="109">
        <f>E12</f>
        <v>4039.4500000000003</v>
      </c>
      <c r="F15" s="107"/>
      <c r="G15" s="113"/>
      <c r="H15" s="109">
        <f>H12</f>
        <v>3235.28</v>
      </c>
      <c r="I15" s="107"/>
      <c r="J15" s="113"/>
      <c r="L15" s="45"/>
      <c r="M15" s="45"/>
    </row>
    <row r="16" spans="1:13" x14ac:dyDescent="0.35">
      <c r="B16" s="63"/>
      <c r="C16" s="63"/>
      <c r="D16" s="63"/>
      <c r="E16" s="114"/>
      <c r="F16" s="107"/>
      <c r="G16" s="113"/>
      <c r="H16" s="114"/>
      <c r="I16" s="107"/>
      <c r="J16" s="113"/>
      <c r="L16" s="45"/>
      <c r="M16" s="45"/>
    </row>
    <row r="17" spans="1:13" x14ac:dyDescent="0.35">
      <c r="A17" s="45" t="s">
        <v>67</v>
      </c>
      <c r="B17" s="63" t="s">
        <v>106</v>
      </c>
      <c r="C17" s="88" t="s">
        <v>107</v>
      </c>
      <c r="D17" s="63"/>
      <c r="E17" s="112">
        <f>'Common size P &amp; L '!C22+'Common size P &amp; L '!C17</f>
        <v>1717.6499999999987</v>
      </c>
      <c r="F17" s="115">
        <f>E17/E18</f>
        <v>1115.357142857142</v>
      </c>
      <c r="G17" s="113" t="s">
        <v>108</v>
      </c>
      <c r="H17" s="112">
        <f>'Common size P &amp; L '!E22+'Common size P &amp; L '!E17</f>
        <v>1446.6500000000008</v>
      </c>
      <c r="I17" s="115">
        <f>H17/H18</f>
        <v>997.6896551724144</v>
      </c>
      <c r="J17" s="113" t="s">
        <v>108</v>
      </c>
      <c r="K17" s="102"/>
      <c r="L17" s="102"/>
      <c r="M17" s="102"/>
    </row>
    <row r="18" spans="1:13" x14ac:dyDescent="0.35">
      <c r="A18" s="45"/>
      <c r="B18" s="63"/>
      <c r="C18" s="63" t="s">
        <v>109</v>
      </c>
      <c r="D18" s="63"/>
      <c r="E18" s="114">
        <f>'Common size P &amp; L '!C17</f>
        <v>1.54</v>
      </c>
      <c r="F18" s="107"/>
      <c r="G18" s="113"/>
      <c r="H18" s="114">
        <f>'Common size P &amp; L '!E17</f>
        <v>1.45</v>
      </c>
      <c r="I18" s="102"/>
      <c r="J18" s="102"/>
      <c r="K18" s="102"/>
      <c r="L18" s="102"/>
      <c r="M18" s="102"/>
    </row>
    <row r="19" spans="1:13" x14ac:dyDescent="0.35">
      <c r="A19" s="45"/>
      <c r="B19" s="45"/>
      <c r="C19" s="45"/>
      <c r="D19" s="45"/>
      <c r="E19" s="102"/>
      <c r="F19" s="102"/>
      <c r="G19" s="102"/>
      <c r="H19" s="102"/>
      <c r="I19" s="102"/>
      <c r="J19" s="102"/>
      <c r="K19" s="102"/>
      <c r="L19" s="102"/>
      <c r="M19" s="102"/>
    </row>
  </sheetData>
  <mergeCells count="3">
    <mergeCell ref="I1:J2"/>
    <mergeCell ref="E5:F5"/>
    <mergeCell ref="H5:J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30"/>
  <sheetViews>
    <sheetView tabSelected="1" topLeftCell="A9" workbookViewId="0">
      <selection activeCell="F14" sqref="F14"/>
    </sheetView>
  </sheetViews>
  <sheetFormatPr defaultRowHeight="14.5" x14ac:dyDescent="0.35"/>
  <cols>
    <col min="1" max="1" width="4.1796875" customWidth="1"/>
    <col min="2" max="2" width="28.453125" customWidth="1"/>
    <col min="3" max="3" width="30.54296875" customWidth="1"/>
    <col min="4" max="4" width="6.26953125" customWidth="1"/>
    <col min="5" max="5" width="17.1796875" customWidth="1"/>
    <col min="6" max="6" width="10.81640625" customWidth="1"/>
    <col min="7" max="7" width="11.7265625" customWidth="1"/>
    <col min="8" max="8" width="11" customWidth="1"/>
  </cols>
  <sheetData>
    <row r="1" spans="1:9" x14ac:dyDescent="0.35">
      <c r="A1" s="116"/>
      <c r="B1" s="19"/>
      <c r="G1" s="164"/>
      <c r="H1" s="165"/>
      <c r="I1" s="116"/>
    </row>
    <row r="2" spans="1:9" x14ac:dyDescent="0.35">
      <c r="A2" s="116"/>
      <c r="B2" s="77" t="s">
        <v>110</v>
      </c>
      <c r="G2" s="166"/>
      <c r="H2" s="167"/>
      <c r="I2" s="116"/>
    </row>
    <row r="3" spans="1:9" x14ac:dyDescent="0.35">
      <c r="A3" s="116"/>
      <c r="B3" s="77"/>
      <c r="I3" s="116"/>
    </row>
    <row r="4" spans="1:9" x14ac:dyDescent="0.35">
      <c r="A4" s="116"/>
      <c r="B4" s="78" t="s">
        <v>55</v>
      </c>
      <c r="I4" s="116"/>
    </row>
    <row r="5" spans="1:9" ht="15.5" x14ac:dyDescent="0.35">
      <c r="A5" s="117"/>
      <c r="B5" s="80" t="s">
        <v>56</v>
      </c>
      <c r="C5" s="80" t="s">
        <v>57</v>
      </c>
      <c r="D5" s="80"/>
      <c r="E5" s="162" t="s">
        <v>182</v>
      </c>
      <c r="F5" s="162"/>
      <c r="G5" s="153" t="s">
        <v>184</v>
      </c>
      <c r="H5" s="153"/>
      <c r="I5" s="153"/>
    </row>
    <row r="6" spans="1:9" x14ac:dyDescent="0.35">
      <c r="A6" s="117"/>
      <c r="B6" s="118"/>
      <c r="C6" s="118"/>
      <c r="D6" s="118"/>
      <c r="E6" s="119"/>
      <c r="F6" s="120"/>
      <c r="G6" s="119"/>
      <c r="H6" s="120"/>
      <c r="I6" s="117"/>
    </row>
    <row r="7" spans="1:9" x14ac:dyDescent="0.35">
      <c r="A7" s="116" t="s">
        <v>58</v>
      </c>
      <c r="B7" s="63" t="s">
        <v>111</v>
      </c>
      <c r="C7" s="63"/>
      <c r="D7" s="63"/>
      <c r="E7" s="121"/>
      <c r="F7" s="122"/>
      <c r="G7" s="121"/>
      <c r="H7" s="122"/>
      <c r="I7" s="116"/>
    </row>
    <row r="8" spans="1:9" x14ac:dyDescent="0.35">
      <c r="A8" s="116"/>
      <c r="B8" s="63" t="s">
        <v>112</v>
      </c>
      <c r="C8" s="63"/>
      <c r="D8" s="63"/>
      <c r="E8" s="123">
        <v>46.71</v>
      </c>
      <c r="F8" s="124"/>
      <c r="G8" s="123">
        <v>39.479999999999997</v>
      </c>
      <c r="H8" s="124"/>
      <c r="I8" s="116"/>
    </row>
    <row r="9" spans="1:9" x14ac:dyDescent="0.35">
      <c r="A9" s="116"/>
      <c r="B9" s="63" t="s">
        <v>113</v>
      </c>
      <c r="C9" s="63"/>
      <c r="D9" s="63"/>
      <c r="E9" s="123">
        <v>46.68</v>
      </c>
      <c r="F9" s="124"/>
      <c r="G9" s="123">
        <v>39.46</v>
      </c>
      <c r="H9" s="124"/>
      <c r="I9" s="116"/>
    </row>
    <row r="10" spans="1:9" x14ac:dyDescent="0.35">
      <c r="A10" s="116"/>
      <c r="B10" s="63"/>
      <c r="C10" s="63"/>
      <c r="D10" s="63"/>
      <c r="E10" s="82"/>
      <c r="F10" s="124"/>
      <c r="G10" s="82"/>
      <c r="H10" s="124"/>
      <c r="I10" s="116"/>
    </row>
    <row r="11" spans="1:9" x14ac:dyDescent="0.35">
      <c r="A11" s="116" t="s">
        <v>61</v>
      </c>
      <c r="B11" s="63" t="s">
        <v>121</v>
      </c>
      <c r="C11" s="88"/>
      <c r="D11" s="63"/>
      <c r="E11" s="171">
        <v>240318294</v>
      </c>
      <c r="F11" s="126"/>
      <c r="G11" s="171">
        <v>240318294</v>
      </c>
      <c r="H11" s="126"/>
      <c r="I11" s="116"/>
    </row>
    <row r="12" spans="1:9" x14ac:dyDescent="0.35">
      <c r="A12" s="116"/>
      <c r="B12" s="63"/>
      <c r="C12" s="63"/>
      <c r="D12" s="63"/>
      <c r="E12" s="123"/>
      <c r="F12" s="124"/>
      <c r="G12" s="123"/>
      <c r="H12" s="124"/>
      <c r="I12" s="116"/>
    </row>
    <row r="13" spans="1:9" x14ac:dyDescent="0.35">
      <c r="A13" s="116"/>
      <c r="B13" s="63"/>
      <c r="C13" s="63"/>
      <c r="D13" s="63"/>
      <c r="E13" s="82"/>
      <c r="F13" s="124"/>
      <c r="G13" s="82"/>
      <c r="H13" s="124"/>
      <c r="I13" s="116"/>
    </row>
    <row r="14" spans="1:9" x14ac:dyDescent="0.35">
      <c r="A14" s="116" t="s">
        <v>64</v>
      </c>
      <c r="B14" s="63" t="s">
        <v>114</v>
      </c>
      <c r="C14" s="88" t="s">
        <v>115</v>
      </c>
      <c r="D14" s="63"/>
      <c r="E14" s="172">
        <v>3096.5</v>
      </c>
      <c r="F14" s="113">
        <f>E14/E15</f>
        <v>66.292014557910505</v>
      </c>
      <c r="G14" s="125">
        <v>2553</v>
      </c>
      <c r="H14" s="113">
        <f>G14/G15</f>
        <v>64.665653495440736</v>
      </c>
      <c r="I14" s="116"/>
    </row>
    <row r="15" spans="1:9" x14ac:dyDescent="0.35">
      <c r="A15" s="116"/>
      <c r="B15" s="63"/>
      <c r="C15" s="63" t="s">
        <v>111</v>
      </c>
      <c r="D15" s="63"/>
      <c r="E15" s="127">
        <f>E8</f>
        <v>46.71</v>
      </c>
      <c r="F15" s="124"/>
      <c r="G15" s="127">
        <f>G8</f>
        <v>39.479999999999997</v>
      </c>
      <c r="H15" s="124"/>
      <c r="I15" s="116"/>
    </row>
    <row r="16" spans="1:9" x14ac:dyDescent="0.35">
      <c r="A16" s="116"/>
      <c r="B16" s="63"/>
      <c r="C16" s="63"/>
      <c r="D16" s="63"/>
      <c r="E16" s="82"/>
      <c r="F16" s="124"/>
      <c r="G16" s="82"/>
      <c r="H16" s="124"/>
      <c r="I16" s="116"/>
    </row>
    <row r="17" spans="1:9" x14ac:dyDescent="0.35">
      <c r="A17" s="116" t="s">
        <v>67</v>
      </c>
      <c r="B17" s="63" t="s">
        <v>116</v>
      </c>
      <c r="C17" s="88" t="s">
        <v>117</v>
      </c>
      <c r="D17" s="63"/>
      <c r="E17" s="125">
        <v>15</v>
      </c>
      <c r="F17" s="126">
        <f>E17/E18</f>
        <v>4.8441789116744714E-3</v>
      </c>
      <c r="G17" s="125">
        <v>25</v>
      </c>
      <c r="H17" s="126">
        <f>G17/G18</f>
        <v>9.7924010967489223E-3</v>
      </c>
      <c r="I17" s="116"/>
    </row>
    <row r="18" spans="1:9" x14ac:dyDescent="0.35">
      <c r="A18" s="116"/>
      <c r="B18" s="63"/>
      <c r="C18" s="63" t="s">
        <v>115</v>
      </c>
      <c r="D18" s="63"/>
      <c r="E18" s="123">
        <f>E14</f>
        <v>3096.5</v>
      </c>
      <c r="F18" s="124"/>
      <c r="G18" s="82">
        <f>G14</f>
        <v>2553</v>
      </c>
      <c r="H18" s="124"/>
      <c r="I18" s="116"/>
    </row>
    <row r="19" spans="1:9" x14ac:dyDescent="0.35">
      <c r="A19" s="116"/>
      <c r="B19" s="63"/>
      <c r="C19" s="63"/>
      <c r="D19" s="63"/>
      <c r="E19" s="82"/>
      <c r="F19" s="124"/>
      <c r="G19" s="82"/>
      <c r="H19" s="124"/>
      <c r="I19" s="116"/>
    </row>
    <row r="20" spans="1:9" x14ac:dyDescent="0.35">
      <c r="A20" s="116" t="s">
        <v>91</v>
      </c>
      <c r="B20" s="63" t="s">
        <v>118</v>
      </c>
      <c r="C20" s="88" t="s">
        <v>115</v>
      </c>
      <c r="D20" s="63"/>
      <c r="E20" s="172">
        <f>E14</f>
        <v>3096.5</v>
      </c>
      <c r="F20" s="113">
        <f>E20/E21</f>
        <v>18.421678862514128</v>
      </c>
      <c r="G20" s="125">
        <f>G14</f>
        <v>2553</v>
      </c>
      <c r="H20" s="113">
        <f>G20/G21</f>
        <v>18.947602790559596</v>
      </c>
      <c r="I20" s="116"/>
    </row>
    <row r="21" spans="1:9" x14ac:dyDescent="0.35">
      <c r="A21" s="116"/>
      <c r="B21" s="63"/>
      <c r="C21" s="63" t="s">
        <v>119</v>
      </c>
      <c r="D21" s="63"/>
      <c r="E21" s="132">
        <v>168.09</v>
      </c>
      <c r="F21" s="124"/>
      <c r="G21" s="132">
        <v>134.74</v>
      </c>
      <c r="H21" s="124"/>
      <c r="I21" s="116"/>
    </row>
    <row r="22" spans="1:9" x14ac:dyDescent="0.35">
      <c r="A22" s="116"/>
      <c r="B22" s="63"/>
      <c r="C22" s="63"/>
      <c r="D22" s="63"/>
      <c r="E22" s="82"/>
      <c r="F22" s="124"/>
      <c r="G22" s="82"/>
      <c r="H22" s="124"/>
      <c r="I22" s="116"/>
    </row>
    <row r="23" spans="1:9" x14ac:dyDescent="0.35">
      <c r="A23" s="116" t="s">
        <v>95</v>
      </c>
      <c r="B23" s="63" t="s">
        <v>119</v>
      </c>
      <c r="C23" s="88" t="s">
        <v>120</v>
      </c>
      <c r="D23" s="63"/>
      <c r="E23" s="128">
        <f>'Balance Sheet'!C11</f>
        <v>4039.4500000000003</v>
      </c>
      <c r="F23" s="113">
        <f>E23/E24</f>
        <v>168.10029130253849</v>
      </c>
      <c r="G23" s="128">
        <f>'Balance Sheet'!D11</f>
        <v>3235.28</v>
      </c>
      <c r="H23" s="113">
        <f>G23/G24</f>
        <v>134.63503953391594</v>
      </c>
      <c r="I23" s="116"/>
    </row>
    <row r="24" spans="1:9" x14ac:dyDescent="0.35">
      <c r="A24" s="116"/>
      <c r="B24" s="63"/>
      <c r="C24" s="63" t="s">
        <v>121</v>
      </c>
      <c r="D24" s="63"/>
      <c r="E24" s="127">
        <v>24.03</v>
      </c>
      <c r="F24" s="124"/>
      <c r="G24" s="127">
        <v>24.03</v>
      </c>
      <c r="H24" s="124"/>
      <c r="I24" s="116"/>
    </row>
    <row r="25" spans="1:9" x14ac:dyDescent="0.35">
      <c r="A25" s="116"/>
      <c r="B25" s="88"/>
      <c r="C25" s="88"/>
      <c r="D25" s="88"/>
      <c r="E25" s="125"/>
      <c r="F25" s="129"/>
      <c r="G25" s="125"/>
      <c r="H25" s="129"/>
      <c r="I25" s="116"/>
    </row>
    <row r="26" spans="1:9" x14ac:dyDescent="0.35">
      <c r="A26" s="116"/>
      <c r="I26" s="116"/>
    </row>
    <row r="27" spans="1:9" x14ac:dyDescent="0.35">
      <c r="A27" s="116"/>
      <c r="E27" s="125"/>
      <c r="G27" s="125"/>
      <c r="I27" s="116"/>
    </row>
    <row r="28" spans="1:9" x14ac:dyDescent="0.35">
      <c r="A28" s="116"/>
      <c r="I28" s="116"/>
    </row>
    <row r="29" spans="1:9" x14ac:dyDescent="0.35">
      <c r="A29" s="116"/>
      <c r="B29" t="s">
        <v>122</v>
      </c>
      <c r="I29" s="116"/>
    </row>
    <row r="30" spans="1:9" x14ac:dyDescent="0.35">
      <c r="A30" s="116"/>
      <c r="B30" t="s">
        <v>123</v>
      </c>
      <c r="C30" s="130"/>
      <c r="I30" s="116"/>
    </row>
  </sheetData>
  <mergeCells count="2">
    <mergeCell ref="G1:H2"/>
    <mergeCell ref="E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Balance Sheet</vt:lpstr>
      <vt:lpstr> P&amp;L</vt:lpstr>
      <vt:lpstr>Hori BS</vt:lpstr>
      <vt:lpstr> Hori P&amp;L </vt:lpstr>
      <vt:lpstr>Common Size Balance Sheet </vt:lpstr>
      <vt:lpstr>Common size P &amp; L </vt:lpstr>
      <vt:lpstr>Profitability</vt:lpstr>
      <vt:lpstr>Sheet1</vt:lpstr>
      <vt:lpstr>Liquidity</vt:lpstr>
      <vt:lpstr>Solvency</vt:lpstr>
      <vt:lpstr>Capital market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Praveena Musunuru</cp:lastModifiedBy>
  <dcterms:created xsi:type="dcterms:W3CDTF">2016-09-01T13:23:39Z</dcterms:created>
  <dcterms:modified xsi:type="dcterms:W3CDTF">2025-05-04T12:24:14Z</dcterms:modified>
</cp:coreProperties>
</file>