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/Volumes/M S JAWED/FDACF/"/>
    </mc:Choice>
  </mc:AlternateContent>
  <xr:revisionPtr revIDLastSave="0" documentId="8_{8614A294-5A3A-654E-8A3B-206A703D32F5}" xr6:coauthVersionLast="47" xr6:coauthVersionMax="47" xr10:uidLastSave="{00000000-0000-0000-0000-000000000000}"/>
  <bookViews>
    <workbookView xWindow="0" yWindow="500" windowWidth="28800" windowHeight="17500" tabRatio="500" activeTab="2" xr2:uid="{00000000-000D-0000-FFFF-FFFF00000000}"/>
  </bookViews>
  <sheets>
    <sheet name="Class Excercise - 1" sheetId="3" r:id="rId1"/>
    <sheet name="Sheet3" sheetId="7" r:id="rId2"/>
    <sheet name="Sheet2" sheetId="6" r:id="rId3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7" l="1"/>
  <c r="F6" i="7"/>
  <c r="F7" i="7"/>
  <c r="F8" i="7"/>
  <c r="F9" i="7"/>
  <c r="C10" i="7"/>
  <c r="E10" i="7"/>
  <c r="C11" i="7"/>
  <c r="E11" i="7"/>
  <c r="F12" i="7"/>
  <c r="C16" i="7"/>
  <c r="C17" i="7"/>
  <c r="F18" i="7"/>
  <c r="G18" i="7"/>
  <c r="F19" i="7"/>
  <c r="G19" i="7"/>
  <c r="K19" i="7"/>
  <c r="R28" i="7"/>
  <c r="J29" i="7"/>
  <c r="J33" i="7" s="1"/>
  <c r="J35" i="7" s="1"/>
  <c r="P29" i="7"/>
  <c r="R29" i="7"/>
  <c r="P30" i="7"/>
  <c r="P31" i="7"/>
  <c r="P32" i="7"/>
  <c r="P33" i="7"/>
  <c r="C39" i="3"/>
  <c r="D39" i="3"/>
  <c r="E39" i="3"/>
  <c r="F39" i="3"/>
  <c r="G39" i="3"/>
  <c r="H39" i="3"/>
  <c r="I39" i="3"/>
  <c r="B39" i="3"/>
  <c r="D38" i="3"/>
  <c r="E38" i="3"/>
  <c r="F38" i="3"/>
  <c r="G38" i="3"/>
  <c r="H38" i="3"/>
  <c r="I38" i="3"/>
  <c r="C38" i="3"/>
  <c r="B38" i="3"/>
  <c r="Q20" i="6"/>
  <c r="R15" i="6"/>
  <c r="Q10" i="6"/>
  <c r="K27" i="3"/>
  <c r="L20" i="6"/>
  <c r="K20" i="6"/>
  <c r="C36" i="3"/>
  <c r="D36" i="3"/>
  <c r="E36" i="3"/>
  <c r="F36" i="3"/>
  <c r="G36" i="3"/>
  <c r="H36" i="3"/>
  <c r="I36" i="3"/>
  <c r="B36" i="3"/>
  <c r="J13" i="3"/>
  <c r="J7" i="3"/>
  <c r="J8" i="3"/>
  <c r="J9" i="3"/>
  <c r="J10" i="3"/>
  <c r="J11" i="3"/>
  <c r="J12" i="3"/>
  <c r="J6" i="3"/>
  <c r="J5" i="3"/>
  <c r="C33" i="3"/>
  <c r="D33" i="3"/>
  <c r="E33" i="3"/>
  <c r="F33" i="3"/>
  <c r="G33" i="3"/>
  <c r="H33" i="3"/>
  <c r="I33" i="3"/>
  <c r="B33" i="3"/>
  <c r="I32" i="3"/>
  <c r="C32" i="3"/>
  <c r="D32" i="3"/>
  <c r="E32" i="3"/>
  <c r="F32" i="3"/>
  <c r="G32" i="3"/>
  <c r="H32" i="3"/>
  <c r="B32" i="3"/>
  <c r="E6" i="3"/>
  <c r="E24" i="3" s="1"/>
  <c r="E25" i="3" s="1"/>
  <c r="F6" i="3"/>
  <c r="F24" i="3" s="1"/>
  <c r="F25" i="3" s="1"/>
  <c r="G6" i="3"/>
  <c r="G24" i="3" s="1"/>
  <c r="G25" i="3" s="1"/>
  <c r="H6" i="3"/>
  <c r="I6" i="3"/>
  <c r="E7" i="3"/>
  <c r="F7" i="3"/>
  <c r="H7" i="3"/>
  <c r="H24" i="3" s="1"/>
  <c r="H25" i="3" s="1"/>
  <c r="I7" i="3"/>
  <c r="E8" i="3"/>
  <c r="F8" i="3"/>
  <c r="H8" i="3"/>
  <c r="I8" i="3"/>
  <c r="E9" i="3"/>
  <c r="F9" i="3"/>
  <c r="H9" i="3"/>
  <c r="I9" i="3"/>
  <c r="F10" i="3"/>
  <c r="H10" i="3"/>
  <c r="I10" i="3"/>
  <c r="F11" i="3"/>
  <c r="I11" i="3"/>
  <c r="F12" i="3"/>
  <c r="I12" i="3"/>
  <c r="F13" i="3"/>
  <c r="F14" i="3"/>
  <c r="F15" i="3"/>
  <c r="F16" i="3"/>
  <c r="F17" i="3"/>
  <c r="F18" i="3"/>
  <c r="F19" i="3"/>
  <c r="F20" i="3"/>
  <c r="B24" i="3"/>
  <c r="B25" i="3" s="1"/>
  <c r="C24" i="3"/>
  <c r="C25" i="3" s="1"/>
  <c r="D24" i="3"/>
  <c r="D25" i="3" s="1"/>
  <c r="I24" i="3" l="1"/>
  <c r="I25" i="3" s="1"/>
</calcChain>
</file>

<file path=xl/sharedStrings.xml><?xml version="1.0" encoding="utf-8"?>
<sst xmlns="http://schemas.openxmlformats.org/spreadsheetml/2006/main" count="73" uniqueCount="61">
  <si>
    <t>Project</t>
  </si>
  <si>
    <t>Initial Investment</t>
  </si>
  <si>
    <t>Year</t>
  </si>
  <si>
    <t>Sum of Cash Flows</t>
  </si>
  <si>
    <t>Excess Cash Flow</t>
  </si>
  <si>
    <t>IRR</t>
  </si>
  <si>
    <t>Payback Period</t>
  </si>
  <si>
    <t>Project's Total Life</t>
  </si>
  <si>
    <t>Avg RoI</t>
  </si>
  <si>
    <t>NPV (@10%)</t>
  </si>
  <si>
    <t>NPV (@11%)</t>
  </si>
  <si>
    <t>NPV (@12%)</t>
  </si>
  <si>
    <t>PI</t>
  </si>
  <si>
    <t>EAA @ 11%</t>
  </si>
  <si>
    <t>EAA @10%</t>
  </si>
  <si>
    <t>A</t>
  </si>
  <si>
    <t>B</t>
  </si>
  <si>
    <t>EAA @ 12%</t>
  </si>
  <si>
    <t>WAPI @10% (1, 2, 4, 7)</t>
  </si>
  <si>
    <t>WAPI @10% (1, 3, 4, 8)</t>
  </si>
  <si>
    <t>While making Descision based on EAA Only</t>
  </si>
  <si>
    <t>While making Decision based on NPV &amp; PI Only</t>
  </si>
  <si>
    <t>However, sensitivity analysis is required given the cost of capital may be more expensive than 10%</t>
  </si>
  <si>
    <t>NPV</t>
  </si>
  <si>
    <t>MIRR</t>
  </si>
  <si>
    <t xml:space="preserve"> </t>
  </si>
  <si>
    <t>@10%</t>
  </si>
  <si>
    <t>1,3,4,8</t>
  </si>
  <si>
    <t>@11% and above</t>
  </si>
  <si>
    <t>1,2,4,7</t>
  </si>
  <si>
    <t>Final Recommendation</t>
  </si>
  <si>
    <t>Project 3</t>
  </si>
  <si>
    <t>Project 5</t>
  </si>
  <si>
    <t>LCM</t>
  </si>
  <si>
    <t>A (hypothetical)</t>
  </si>
  <si>
    <t>Annuities</t>
  </si>
  <si>
    <t>A (hy) equal payouts</t>
  </si>
  <si>
    <t>t = 0</t>
  </si>
  <si>
    <t>Project x (hy cash flow)</t>
  </si>
  <si>
    <t>Project X</t>
  </si>
  <si>
    <t>IRR(date)</t>
  </si>
  <si>
    <t>NPV(with date)</t>
  </si>
  <si>
    <t>Hypothetical Project</t>
  </si>
  <si>
    <t>Cross Over rate</t>
  </si>
  <si>
    <t>cf0(1)-CF0(2) + CF1(1)-CF1(2)</t>
  </si>
  <si>
    <t>1078.82Cr</t>
  </si>
  <si>
    <t>1000Cr</t>
  </si>
  <si>
    <t>npv1-npv2 = 0</t>
  </si>
  <si>
    <t>npv1 = npv2</t>
  </si>
  <si>
    <t>R(d)</t>
  </si>
  <si>
    <t>r(s)</t>
  </si>
  <si>
    <t>WACC</t>
  </si>
  <si>
    <t>Debt?</t>
  </si>
  <si>
    <t>Finance Risk</t>
  </si>
  <si>
    <t>Your operating capital mix</t>
  </si>
  <si>
    <t>Your management</t>
  </si>
  <si>
    <t>Nature of business</t>
  </si>
  <si>
    <t>Business Risk</t>
  </si>
  <si>
    <t>Diff of csh flow (L-S)</t>
  </si>
  <si>
    <t>Project L</t>
  </si>
  <si>
    <t>Project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</si>
</sst>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₹&quot;#,##0.00_);[Red]\(&quot;₹&quot;#,##0.00\)"/>
    <numFmt numFmtId="165" formatCode="&quot;₹&quot;\ #,##0.00;[Red]\-&quot;₹&quot;\ #,##0.00"/>
    <numFmt numFmtId="166" formatCode="#,##0.00_ ;[Red]\-#,##0.00\ "/>
    <numFmt numFmtId="167" formatCode="0.0%"/>
    <numFmt numFmtId="183" formatCode="&quot;₹&quot;#,##0.0000_);[Red]\(&quot;₹&quot;#,##0.0000\)"/>
  </numFmts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</borders>
  <cellStyleXfs count="15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85">
    <xf numFmtId="0" fontId="0" fillId="0" borderId="0" xfId="0"/>
    <xf numFmtId="3" fontId="0" fillId="0" borderId="0" xfId="0" applyNumberFormat="1"/>
    <xf numFmtId="3" fontId="0" fillId="2" borderId="1" xfId="0" applyNumberFormat="1" applyFill="1" applyBorder="1"/>
    <xf numFmtId="0" fontId="0" fillId="0" borderId="0" xfId="0" applyAlignment="1">
      <alignment horizontal="center"/>
    </xf>
    <xf numFmtId="0" fontId="0" fillId="3" borderId="1" xfId="0" applyFill="1" applyBorder="1"/>
    <xf numFmtId="0" fontId="0" fillId="5" borderId="2" xfId="0" applyFill="1" applyBorder="1"/>
    <xf numFmtId="0" fontId="0" fillId="4" borderId="3" xfId="0" applyFill="1" applyBorder="1"/>
    <xf numFmtId="3" fontId="0" fillId="4" borderId="4" xfId="0" applyNumberFormat="1" applyFill="1" applyBorder="1"/>
    <xf numFmtId="0" fontId="0" fillId="2" borderId="6" xfId="0" applyFill="1" applyBorder="1" applyAlignment="1">
      <alignment horizontal="center"/>
    </xf>
    <xf numFmtId="3" fontId="0" fillId="2" borderId="7" xfId="0" applyNumberFormat="1" applyFill="1" applyBorder="1"/>
    <xf numFmtId="0" fontId="0" fillId="2" borderId="9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3" fontId="0" fillId="2" borderId="12" xfId="0" applyNumberFormat="1" applyFill="1" applyBorder="1"/>
    <xf numFmtId="0" fontId="0" fillId="6" borderId="6" xfId="0" applyFill="1" applyBorder="1"/>
    <xf numFmtId="3" fontId="0" fillId="6" borderId="7" xfId="0" applyNumberFormat="1" applyFill="1" applyBorder="1"/>
    <xf numFmtId="3" fontId="0" fillId="6" borderId="8" xfId="0" applyNumberFormat="1" applyFill="1" applyBorder="1"/>
    <xf numFmtId="0" fontId="0" fillId="7" borderId="11" xfId="0" applyFill="1" applyBorder="1"/>
    <xf numFmtId="3" fontId="0" fillId="7" borderId="12" xfId="0" applyNumberFormat="1" applyFill="1" applyBorder="1"/>
    <xf numFmtId="3" fontId="0" fillId="7" borderId="13" xfId="0" applyNumberFormat="1" applyFill="1" applyBorder="1"/>
    <xf numFmtId="0" fontId="3" fillId="0" borderId="1" xfId="0" applyFont="1" applyBorder="1"/>
    <xf numFmtId="0" fontId="0" fillId="0" borderId="1" xfId="0" applyBorder="1"/>
    <xf numFmtId="165" fontId="0" fillId="0" borderId="1" xfId="0" applyNumberFormat="1" applyBorder="1"/>
    <xf numFmtId="3" fontId="0" fillId="7" borderId="7" xfId="0" applyNumberFormat="1" applyFill="1" applyBorder="1"/>
    <xf numFmtId="3" fontId="0" fillId="7" borderId="8" xfId="0" applyNumberFormat="1" applyFill="1" applyBorder="1"/>
    <xf numFmtId="3" fontId="0" fillId="7" borderId="1" xfId="0" applyNumberFormat="1" applyFill="1" applyBorder="1"/>
    <xf numFmtId="3" fontId="0" fillId="7" borderId="10" xfId="0" applyNumberFormat="1" applyFill="1" applyBorder="1"/>
    <xf numFmtId="3" fontId="0" fillId="9" borderId="7" xfId="0" applyNumberFormat="1" applyFill="1" applyBorder="1"/>
    <xf numFmtId="3" fontId="0" fillId="9" borderId="1" xfId="0" applyNumberFormat="1" applyFill="1" applyBorder="1"/>
    <xf numFmtId="3" fontId="0" fillId="9" borderId="12" xfId="0" applyNumberFormat="1" applyFill="1" applyBorder="1"/>
    <xf numFmtId="0" fontId="0" fillId="0" borderId="17" xfId="0" applyBorder="1"/>
    <xf numFmtId="165" fontId="0" fillId="0" borderId="17" xfId="0" applyNumberFormat="1" applyBorder="1"/>
    <xf numFmtId="0" fontId="0" fillId="0" borderId="16" xfId="0" applyBorder="1"/>
    <xf numFmtId="165" fontId="0" fillId="0" borderId="16" xfId="0" applyNumberFormat="1" applyBorder="1"/>
    <xf numFmtId="0" fontId="3" fillId="0" borderId="5" xfId="0" applyFont="1" applyBorder="1"/>
    <xf numFmtId="0" fontId="3" fillId="0" borderId="0" xfId="0" applyFont="1"/>
    <xf numFmtId="0" fontId="3" fillId="0" borderId="17" xfId="0" applyFont="1" applyBorder="1"/>
    <xf numFmtId="165" fontId="0" fillId="8" borderId="17" xfId="0" applyNumberFormat="1" applyFill="1" applyBorder="1"/>
    <xf numFmtId="0" fontId="3" fillId="0" borderId="16" xfId="0" applyFont="1" applyBorder="1"/>
    <xf numFmtId="165" fontId="0" fillId="8" borderId="16" xfId="0" applyNumberFormat="1" applyFill="1" applyBorder="1"/>
    <xf numFmtId="9" fontId="0" fillId="0" borderId="17" xfId="0" applyNumberFormat="1" applyBorder="1"/>
    <xf numFmtId="9" fontId="0" fillId="8" borderId="17" xfId="0" applyNumberFormat="1" applyFill="1" applyBorder="1"/>
    <xf numFmtId="165" fontId="0" fillId="0" borderId="5" xfId="0" applyNumberFormat="1" applyBorder="1"/>
    <xf numFmtId="165" fontId="0" fillId="8" borderId="5" xfId="0" applyNumberFormat="1" applyFill="1" applyBorder="1"/>
    <xf numFmtId="166" fontId="0" fillId="0" borderId="16" xfId="0" applyNumberFormat="1" applyBorder="1"/>
    <xf numFmtId="4" fontId="0" fillId="0" borderId="17" xfId="0" applyNumberFormat="1" applyBorder="1"/>
    <xf numFmtId="4" fontId="0" fillId="8" borderId="17" xfId="0" applyNumberFormat="1" applyFill="1" applyBorder="1"/>
    <xf numFmtId="0" fontId="0" fillId="8" borderId="16" xfId="0" applyFill="1" applyBorder="1"/>
    <xf numFmtId="0" fontId="0" fillId="8" borderId="17" xfId="0" applyFill="1" applyBorder="1"/>
    <xf numFmtId="0" fontId="3" fillId="0" borderId="18" xfId="0" applyFont="1" applyBorder="1"/>
    <xf numFmtId="4" fontId="0" fillId="0" borderId="18" xfId="0" applyNumberFormat="1" applyBorder="1"/>
    <xf numFmtId="4" fontId="0" fillId="8" borderId="18" xfId="0" applyNumberFormat="1" applyFill="1" applyBorder="1"/>
    <xf numFmtId="4" fontId="0" fillId="0" borderId="16" xfId="0" applyNumberFormat="1" applyBorder="1"/>
    <xf numFmtId="10" fontId="0" fillId="0" borderId="0" xfId="0" applyNumberFormat="1"/>
    <xf numFmtId="0" fontId="0" fillId="2" borderId="0" xfId="0" applyFill="1" applyAlignment="1">
      <alignment horizontal="center"/>
    </xf>
    <xf numFmtId="3" fontId="0" fillId="2" borderId="0" xfId="0" applyNumberFormat="1" applyFill="1"/>
    <xf numFmtId="3" fontId="0" fillId="9" borderId="0" xfId="0" applyNumberFormat="1" applyFill="1"/>
    <xf numFmtId="3" fontId="0" fillId="7" borderId="0" xfId="0" applyNumberFormat="1" applyFill="1"/>
    <xf numFmtId="2" fontId="0" fillId="0" borderId="0" xfId="0" applyNumberFormat="1"/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5" fontId="0" fillId="9" borderId="1" xfId="0" applyNumberFormat="1" applyFill="1" applyBorder="1"/>
    <xf numFmtId="167" fontId="0" fillId="0" borderId="16" xfId="0" applyNumberFormat="1" applyBorder="1"/>
    <xf numFmtId="167" fontId="0" fillId="9" borderId="16" xfId="0" applyNumberFormat="1" applyFill="1" applyBorder="1"/>
    <xf numFmtId="165" fontId="0" fillId="6" borderId="1" xfId="0" applyNumberFormat="1" applyFill="1" applyBorder="1"/>
    <xf numFmtId="3" fontId="3" fillId="0" borderId="14" xfId="0" applyNumberFormat="1" applyFont="1" applyBorder="1"/>
    <xf numFmtId="183" fontId="0" fillId="0" borderId="0" xfId="0" applyNumberFormat="1"/>
    <xf numFmtId="165" fontId="0" fillId="10" borderId="1" xfId="0" applyNumberFormat="1" applyFill="1" applyBorder="1"/>
    <xf numFmtId="0" fontId="4" fillId="0" borderId="0" xfId="153"/>
    <xf numFmtId="167" fontId="5" fillId="0" borderId="0" xfId="153" applyNumberFormat="1" applyFont="1"/>
    <xf numFmtId="0" fontId="5" fillId="0" borderId="0" xfId="153" applyFont="1"/>
    <xf numFmtId="0" fontId="6" fillId="0" borderId="0" xfId="153" applyFont="1"/>
    <xf numFmtId="167" fontId="7" fillId="0" borderId="0" xfId="153" applyNumberFormat="1" applyFont="1"/>
    <xf numFmtId="0" fontId="7" fillId="0" borderId="0" xfId="153" applyFont="1"/>
    <xf numFmtId="167" fontId="4" fillId="0" borderId="0" xfId="153" applyNumberFormat="1"/>
    <xf numFmtId="8" fontId="4" fillId="0" borderId="0" xfId="153" applyNumberFormat="1" applyAlignment="1">
      <alignment horizontal="center"/>
    </xf>
    <xf numFmtId="0" fontId="4" fillId="0" borderId="0" xfId="153" applyAlignment="1">
      <alignment horizontal="center"/>
    </xf>
    <xf numFmtId="9" fontId="4" fillId="0" borderId="0" xfId="153" applyNumberFormat="1" applyAlignment="1">
      <alignment horizontal="center"/>
    </xf>
    <xf numFmtId="0" fontId="4" fillId="0" borderId="15" xfId="153" applyBorder="1" applyAlignment="1">
      <alignment horizontal="center"/>
    </xf>
    <xf numFmtId="9" fontId="0" fillId="0" borderId="0" xfId="154" applyFont="1"/>
    <xf numFmtId="8" fontId="5" fillId="0" borderId="14" xfId="153" applyNumberFormat="1" applyFont="1" applyBorder="1"/>
    <xf numFmtId="0" fontId="5" fillId="0" borderId="0" xfId="153" applyFont="1" applyAlignment="1">
      <alignment horizontal="center"/>
    </xf>
    <xf numFmtId="8" fontId="5" fillId="0" borderId="0" xfId="153" applyNumberFormat="1" applyFont="1"/>
    <xf numFmtId="10" fontId="5" fillId="0" borderId="0" xfId="153" applyNumberFormat="1" applyFont="1"/>
    <xf numFmtId="0" fontId="5" fillId="0" borderId="14" xfId="153" applyFont="1" applyBorder="1"/>
    <xf numFmtId="14" fontId="4" fillId="0" borderId="0" xfId="153" applyNumberFormat="1"/>
  </cellXfs>
  <cellStyles count="1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Normal" xfId="0" builtinId="0"/>
    <cellStyle name="Normal 2" xfId="153" xr:uid="{3FBDE63B-3D0D-B64B-8BF3-B025D53CD953}"/>
    <cellStyle name="Per cent 2" xfId="154" xr:uid="{B1C98F3C-5C4E-FA4C-950F-FE525004C51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F21E9-EDE7-4CBC-B759-3CFC7E1F2710}">
  <dimension ref="A2:L46"/>
  <sheetViews>
    <sheetView topLeftCell="A28" zoomScale="190" zoomScaleNormal="190" workbookViewId="0">
      <selection activeCell="E38" sqref="E38"/>
    </sheetView>
  </sheetViews>
  <sheetFormatPr baseColWidth="10" defaultColWidth="11" defaultRowHeight="16" x14ac:dyDescent="0.2"/>
  <cols>
    <col min="1" max="1" width="16.33203125" bestFit="1" customWidth="1"/>
    <col min="4" max="4" width="11.1640625" bestFit="1" customWidth="1"/>
    <col min="8" max="8" width="12.6640625" customWidth="1"/>
    <col min="9" max="9" width="13.6640625" customWidth="1"/>
  </cols>
  <sheetData>
    <row r="2" spans="1:10" x14ac:dyDescent="0.2">
      <c r="A2" s="4" t="s">
        <v>0</v>
      </c>
      <c r="B2" s="58">
        <v>1</v>
      </c>
      <c r="C2" s="58">
        <v>2</v>
      </c>
      <c r="D2" s="58">
        <v>3</v>
      </c>
      <c r="E2" s="58">
        <v>4</v>
      </c>
      <c r="F2" s="58">
        <v>5</v>
      </c>
      <c r="G2" s="58">
        <v>6</v>
      </c>
      <c r="H2" s="58">
        <v>7</v>
      </c>
      <c r="I2" s="58">
        <v>8</v>
      </c>
    </row>
    <row r="3" spans="1:10" ht="8" customHeight="1" thickBot="1" x14ac:dyDescent="0.25">
      <c r="A3" s="5"/>
      <c r="B3" s="59"/>
      <c r="C3" s="59"/>
      <c r="D3" s="59"/>
      <c r="E3" s="59"/>
      <c r="F3" s="59"/>
      <c r="G3" s="59"/>
      <c r="H3" s="59"/>
      <c r="I3" s="59"/>
    </row>
    <row r="4" spans="1:10" ht="17" thickBot="1" x14ac:dyDescent="0.25">
      <c r="A4" s="6" t="s">
        <v>1</v>
      </c>
      <c r="B4" s="7">
        <v>-10000</v>
      </c>
      <c r="C4" s="7">
        <v>-10000</v>
      </c>
      <c r="D4" s="7">
        <v>-10000</v>
      </c>
      <c r="E4" s="7">
        <v>-10000</v>
      </c>
      <c r="F4" s="7">
        <v>-10000</v>
      </c>
      <c r="G4" s="7">
        <v>-10000</v>
      </c>
      <c r="H4" s="7">
        <v>-10000</v>
      </c>
      <c r="I4" s="7">
        <v>-10000</v>
      </c>
      <c r="J4" s="1"/>
    </row>
    <row r="5" spans="1:10" ht="17" thickBot="1" x14ac:dyDescent="0.25">
      <c r="A5" s="3" t="s">
        <v>2</v>
      </c>
      <c r="B5" s="7">
        <v>-10000</v>
      </c>
      <c r="C5" s="7">
        <v>-10000</v>
      </c>
      <c r="D5" s="7">
        <v>-10000</v>
      </c>
      <c r="E5" s="7">
        <v>-10000</v>
      </c>
      <c r="F5" s="7">
        <v>-10000</v>
      </c>
      <c r="G5" s="7">
        <v>-10000</v>
      </c>
      <c r="H5" s="7">
        <v>-10000</v>
      </c>
      <c r="I5" s="7">
        <v>-10000</v>
      </c>
      <c r="J5" s="1">
        <f>H4-I4</f>
        <v>0</v>
      </c>
    </row>
    <row r="6" spans="1:10" ht="17" thickBot="1" x14ac:dyDescent="0.25">
      <c r="A6" s="8">
        <v>1</v>
      </c>
      <c r="B6" s="9">
        <v>1500</v>
      </c>
      <c r="C6" s="26">
        <v>7000</v>
      </c>
      <c r="D6" s="26">
        <v>0</v>
      </c>
      <c r="E6" s="9">
        <f>160*5</f>
        <v>800</v>
      </c>
      <c r="F6" s="9">
        <f>280*5</f>
        <v>1400</v>
      </c>
      <c r="G6" s="9">
        <f>2200*5</f>
        <v>11000</v>
      </c>
      <c r="H6" s="22">
        <f>1200*5</f>
        <v>6000</v>
      </c>
      <c r="I6" s="23">
        <f>-350*5</f>
        <v>-1750</v>
      </c>
      <c r="J6" s="1">
        <f>H6-I6</f>
        <v>7750</v>
      </c>
    </row>
    <row r="7" spans="1:10" ht="17" thickBot="1" x14ac:dyDescent="0.25">
      <c r="A7" s="10">
        <v>2</v>
      </c>
      <c r="B7" s="9">
        <v>1500</v>
      </c>
      <c r="C7" s="27">
        <v>5000</v>
      </c>
      <c r="D7" s="27">
        <v>0</v>
      </c>
      <c r="E7" s="2">
        <f>200*5</f>
        <v>1000</v>
      </c>
      <c r="F7" s="9">
        <f t="shared" ref="F7:F20" si="0">280*5</f>
        <v>1400</v>
      </c>
      <c r="G7" s="2"/>
      <c r="H7" s="24">
        <f>900*5</f>
        <v>4500</v>
      </c>
      <c r="I7" s="25">
        <f>-60*5</f>
        <v>-300</v>
      </c>
      <c r="J7" s="1">
        <f t="shared" ref="J7:J12" si="1">H7-I7</f>
        <v>4800</v>
      </c>
    </row>
    <row r="8" spans="1:10" ht="17" thickBot="1" x14ac:dyDescent="0.25">
      <c r="A8" s="10">
        <v>3</v>
      </c>
      <c r="B8" s="9">
        <v>1500</v>
      </c>
      <c r="C8" s="27">
        <v>100</v>
      </c>
      <c r="D8" s="27">
        <v>0</v>
      </c>
      <c r="E8" s="2">
        <f t="shared" ref="E8:E9" si="2">200*5</f>
        <v>1000</v>
      </c>
      <c r="F8" s="9">
        <f t="shared" si="0"/>
        <v>1400</v>
      </c>
      <c r="G8" s="2"/>
      <c r="H8" s="24">
        <f>300*5</f>
        <v>1500</v>
      </c>
      <c r="I8" s="25">
        <f>60*5</f>
        <v>300</v>
      </c>
      <c r="J8" s="1">
        <f t="shared" si="1"/>
        <v>1200</v>
      </c>
    </row>
    <row r="9" spans="1:10" ht="17" thickBot="1" x14ac:dyDescent="0.25">
      <c r="A9" s="10">
        <v>4</v>
      </c>
      <c r="B9" s="9">
        <v>1500</v>
      </c>
      <c r="C9" s="27"/>
      <c r="D9" s="27">
        <v>0</v>
      </c>
      <c r="E9" s="2">
        <f t="shared" si="2"/>
        <v>1000</v>
      </c>
      <c r="F9" s="9">
        <f t="shared" si="0"/>
        <v>1400</v>
      </c>
      <c r="G9" s="2"/>
      <c r="H9" s="24">
        <f>90*5</f>
        <v>450</v>
      </c>
      <c r="I9" s="25">
        <f>350*5</f>
        <v>1750</v>
      </c>
      <c r="J9" s="1">
        <f t="shared" si="1"/>
        <v>-1300</v>
      </c>
    </row>
    <row r="10" spans="1:10" ht="17" thickBot="1" x14ac:dyDescent="0.25">
      <c r="A10" s="10">
        <v>5</v>
      </c>
      <c r="B10" s="9">
        <v>1500</v>
      </c>
      <c r="C10" s="27"/>
      <c r="D10" s="27">
        <v>0</v>
      </c>
      <c r="E10" s="2">
        <v>2000</v>
      </c>
      <c r="F10" s="9">
        <f t="shared" si="0"/>
        <v>1400</v>
      </c>
      <c r="G10" s="2"/>
      <c r="H10" s="24">
        <f>70*5</f>
        <v>350</v>
      </c>
      <c r="I10" s="25">
        <f>700*5</f>
        <v>3500</v>
      </c>
      <c r="J10" s="1">
        <f t="shared" si="1"/>
        <v>-3150</v>
      </c>
    </row>
    <row r="11" spans="1:10" ht="17" thickBot="1" x14ac:dyDescent="0.25">
      <c r="A11" s="10">
        <v>6</v>
      </c>
      <c r="B11" s="9">
        <v>1500</v>
      </c>
      <c r="C11" s="27"/>
      <c r="D11" s="27">
        <v>0</v>
      </c>
      <c r="E11" s="2">
        <v>2000</v>
      </c>
      <c r="F11" s="9">
        <f t="shared" si="0"/>
        <v>1400</v>
      </c>
      <c r="G11" s="2"/>
      <c r="H11" s="24"/>
      <c r="I11" s="25">
        <f>1200*5</f>
        <v>6000</v>
      </c>
      <c r="J11" s="1">
        <f t="shared" si="1"/>
        <v>-6000</v>
      </c>
    </row>
    <row r="12" spans="1:10" ht="17" thickBot="1" x14ac:dyDescent="0.25">
      <c r="A12" s="10">
        <v>7</v>
      </c>
      <c r="B12" s="9">
        <v>1500</v>
      </c>
      <c r="C12" s="27"/>
      <c r="D12" s="27">
        <v>0</v>
      </c>
      <c r="E12" s="2">
        <v>2000</v>
      </c>
      <c r="F12" s="9">
        <f t="shared" si="0"/>
        <v>1400</v>
      </c>
      <c r="G12" s="2"/>
      <c r="H12" s="24"/>
      <c r="I12" s="25">
        <f>2250*5</f>
        <v>11250</v>
      </c>
      <c r="J12" s="1">
        <f t="shared" si="1"/>
        <v>-11250</v>
      </c>
    </row>
    <row r="13" spans="1:10" ht="17" thickBot="1" x14ac:dyDescent="0.25">
      <c r="A13" s="10">
        <v>8</v>
      </c>
      <c r="B13" s="2">
        <v>8000</v>
      </c>
      <c r="C13" s="27"/>
      <c r="D13" s="27">
        <v>0</v>
      </c>
      <c r="E13" s="2">
        <v>3000</v>
      </c>
      <c r="F13" s="9">
        <f t="shared" si="0"/>
        <v>1400</v>
      </c>
      <c r="G13" s="2"/>
      <c r="H13" s="24"/>
      <c r="I13" s="25"/>
      <c r="J13" s="52">
        <f>IRR(J5:J12)</f>
        <v>0.1017627506302492</v>
      </c>
    </row>
    <row r="14" spans="1:10" ht="17" thickBot="1" x14ac:dyDescent="0.25">
      <c r="A14" s="10">
        <v>9</v>
      </c>
      <c r="B14" s="2"/>
      <c r="C14" s="27"/>
      <c r="D14" s="27">
        <v>0</v>
      </c>
      <c r="E14" s="2">
        <v>3000</v>
      </c>
      <c r="F14" s="9">
        <f t="shared" si="0"/>
        <v>1400</v>
      </c>
      <c r="G14" s="2"/>
      <c r="H14" s="24"/>
      <c r="I14" s="25"/>
    </row>
    <row r="15" spans="1:10" ht="17" thickBot="1" x14ac:dyDescent="0.25">
      <c r="A15" s="10">
        <v>10</v>
      </c>
      <c r="B15" s="2"/>
      <c r="C15" s="27"/>
      <c r="D15" s="27">
        <v>29000</v>
      </c>
      <c r="E15" s="2">
        <v>3000</v>
      </c>
      <c r="F15" s="9">
        <f t="shared" si="0"/>
        <v>1400</v>
      </c>
      <c r="G15" s="2"/>
      <c r="H15" s="24"/>
      <c r="I15" s="25"/>
    </row>
    <row r="16" spans="1:10" ht="17" thickBot="1" x14ac:dyDescent="0.25">
      <c r="A16" s="10">
        <v>11</v>
      </c>
      <c r="B16" s="2"/>
      <c r="C16" s="27"/>
      <c r="D16" s="27"/>
      <c r="E16" s="2">
        <v>2000</v>
      </c>
      <c r="F16" s="9">
        <f t="shared" si="0"/>
        <v>1400</v>
      </c>
      <c r="G16" s="2"/>
      <c r="H16" s="24"/>
      <c r="I16" s="25"/>
    </row>
    <row r="17" spans="1:12" ht="17" thickBot="1" x14ac:dyDescent="0.25">
      <c r="A17" s="10">
        <v>12</v>
      </c>
      <c r="B17" s="2"/>
      <c r="C17" s="27"/>
      <c r="D17" s="27"/>
      <c r="E17" s="2">
        <v>2000</v>
      </c>
      <c r="F17" s="9">
        <f t="shared" si="0"/>
        <v>1400</v>
      </c>
      <c r="G17" s="2"/>
      <c r="H17" s="24"/>
      <c r="I17" s="25"/>
    </row>
    <row r="18" spans="1:12" ht="17" thickBot="1" x14ac:dyDescent="0.25">
      <c r="A18" s="10">
        <v>13</v>
      </c>
      <c r="B18" s="2"/>
      <c r="C18" s="27"/>
      <c r="D18" s="27"/>
      <c r="E18" s="2">
        <v>-1000</v>
      </c>
      <c r="F18" s="9">
        <f t="shared" si="0"/>
        <v>1400</v>
      </c>
      <c r="G18" s="2"/>
      <c r="H18" s="24"/>
      <c r="I18" s="25"/>
    </row>
    <row r="19" spans="1:12" ht="17" thickBot="1" x14ac:dyDescent="0.25">
      <c r="A19" s="10">
        <v>14</v>
      </c>
      <c r="B19" s="2"/>
      <c r="C19" s="27"/>
      <c r="D19" s="27"/>
      <c r="E19" s="2"/>
      <c r="F19" s="9">
        <f t="shared" si="0"/>
        <v>1400</v>
      </c>
      <c r="G19" s="2"/>
      <c r="H19" s="24"/>
      <c r="I19" s="25"/>
    </row>
    <row r="20" spans="1:12" ht="17" thickBot="1" x14ac:dyDescent="0.25">
      <c r="A20" s="11">
        <v>15</v>
      </c>
      <c r="B20" s="12"/>
      <c r="C20" s="28"/>
      <c r="D20" s="27"/>
      <c r="E20" s="12"/>
      <c r="F20" s="9">
        <f t="shared" si="0"/>
        <v>1400</v>
      </c>
      <c r="G20" s="12"/>
      <c r="H20" s="17"/>
      <c r="I20" s="18"/>
    </row>
    <row r="21" spans="1:12" x14ac:dyDescent="0.2">
      <c r="A21" s="53"/>
      <c r="B21" s="54"/>
      <c r="C21" s="55"/>
      <c r="D21" s="55"/>
      <c r="E21" s="54"/>
      <c r="F21" s="54"/>
      <c r="G21" s="54"/>
      <c r="H21" s="56"/>
      <c r="I21" s="56"/>
    </row>
    <row r="22" spans="1:12" x14ac:dyDescent="0.2">
      <c r="A22" s="53"/>
      <c r="B22" s="54"/>
      <c r="C22" s="55"/>
      <c r="D22" s="55"/>
      <c r="E22" s="54"/>
      <c r="F22" s="54"/>
      <c r="G22" s="54"/>
      <c r="H22" s="56"/>
      <c r="I22" s="56"/>
    </row>
    <row r="23" spans="1:12" ht="17" thickBot="1" x14ac:dyDescent="0.25">
      <c r="B23" s="1"/>
      <c r="C23" s="1"/>
      <c r="D23" s="1"/>
      <c r="E23" s="1"/>
      <c r="F23" s="1"/>
      <c r="G23" s="1"/>
      <c r="H23" s="1"/>
      <c r="I23" s="1"/>
    </row>
    <row r="24" spans="1:12" x14ac:dyDescent="0.2">
      <c r="A24" s="13" t="s">
        <v>3</v>
      </c>
      <c r="B24" s="14">
        <f t="shared" ref="B24:I24" si="3">SUM(B6:B20)</f>
        <v>18500</v>
      </c>
      <c r="C24" s="14">
        <f t="shared" si="3"/>
        <v>12100</v>
      </c>
      <c r="D24" s="14">
        <f>SUM(D6:D20)</f>
        <v>29000</v>
      </c>
      <c r="E24" s="14">
        <f t="shared" si="3"/>
        <v>21800</v>
      </c>
      <c r="F24" s="14">
        <f t="shared" si="3"/>
        <v>21000</v>
      </c>
      <c r="G24" s="14">
        <f t="shared" si="3"/>
        <v>11000</v>
      </c>
      <c r="H24" s="14">
        <f t="shared" si="3"/>
        <v>12800</v>
      </c>
      <c r="I24" s="15">
        <f t="shared" si="3"/>
        <v>20750</v>
      </c>
    </row>
    <row r="25" spans="1:12" ht="17" thickBot="1" x14ac:dyDescent="0.25">
      <c r="A25" s="16" t="s">
        <v>4</v>
      </c>
      <c r="B25" s="17">
        <f t="shared" ref="B25:I25" si="4">B24+B4</f>
        <v>8500</v>
      </c>
      <c r="C25" s="17">
        <f t="shared" si="4"/>
        <v>2100</v>
      </c>
      <c r="D25" s="17">
        <f t="shared" si="4"/>
        <v>19000</v>
      </c>
      <c r="E25" s="17">
        <f t="shared" si="4"/>
        <v>11800</v>
      </c>
      <c r="F25" s="17">
        <f t="shared" si="4"/>
        <v>11000</v>
      </c>
      <c r="G25" s="17">
        <f t="shared" si="4"/>
        <v>1000</v>
      </c>
      <c r="H25" s="17">
        <f t="shared" si="4"/>
        <v>2800</v>
      </c>
      <c r="I25" s="18">
        <f t="shared" si="4"/>
        <v>10750</v>
      </c>
    </row>
    <row r="27" spans="1:12" ht="17" thickBot="1" x14ac:dyDescent="0.25">
      <c r="A27" s="37" t="s">
        <v>7</v>
      </c>
      <c r="B27" s="31">
        <v>8</v>
      </c>
      <c r="C27" s="31">
        <v>3</v>
      </c>
      <c r="D27" s="31">
        <v>10</v>
      </c>
      <c r="E27" s="31">
        <v>13</v>
      </c>
      <c r="F27" s="31">
        <v>15</v>
      </c>
      <c r="G27" s="31">
        <v>1</v>
      </c>
      <c r="H27" s="46">
        <v>5</v>
      </c>
      <c r="I27" s="46">
        <v>7</v>
      </c>
      <c r="J27" t="s">
        <v>33</v>
      </c>
      <c r="K27">
        <f>LCM(B27:I27)</f>
        <v>10920</v>
      </c>
    </row>
    <row r="28" spans="1:12" ht="18" thickTop="1" thickBot="1" x14ac:dyDescent="0.25">
      <c r="A28" s="48" t="s">
        <v>6</v>
      </c>
      <c r="B28" s="49"/>
      <c r="C28" s="49"/>
      <c r="D28" s="49"/>
      <c r="E28" s="49"/>
      <c r="F28" s="49"/>
      <c r="G28" s="49"/>
      <c r="H28" s="50"/>
      <c r="I28" s="50"/>
    </row>
    <row r="29" spans="1:12" ht="17" thickTop="1" x14ac:dyDescent="0.2">
      <c r="A29" s="35"/>
      <c r="B29" s="29"/>
      <c r="C29" s="29"/>
      <c r="D29" s="29"/>
      <c r="E29" s="29"/>
      <c r="F29" s="29"/>
      <c r="G29" s="29"/>
      <c r="H29" s="47"/>
      <c r="I29" s="47"/>
    </row>
    <row r="30" spans="1:12" ht="17" thickBot="1" x14ac:dyDescent="0.25">
      <c r="A30" s="37" t="s">
        <v>8</v>
      </c>
      <c r="B30" s="51"/>
      <c r="C30" s="51"/>
      <c r="D30" s="51"/>
      <c r="E30" s="51"/>
      <c r="F30" s="51"/>
      <c r="G30" s="51"/>
      <c r="H30" s="51"/>
      <c r="I30" s="51"/>
      <c r="K30" s="20" t="s">
        <v>30</v>
      </c>
      <c r="L30" s="20"/>
    </row>
    <row r="31" spans="1:12" ht="17" thickTop="1" x14ac:dyDescent="0.2">
      <c r="A31" s="35"/>
      <c r="B31" s="44"/>
      <c r="C31" s="44"/>
      <c r="D31" s="44"/>
      <c r="E31" s="44"/>
      <c r="F31" s="44"/>
      <c r="G31" s="44"/>
      <c r="H31" s="45"/>
      <c r="I31" s="45"/>
      <c r="K31" s="20"/>
      <c r="L31" s="20"/>
    </row>
    <row r="32" spans="1:12" x14ac:dyDescent="0.2">
      <c r="A32" s="19" t="s">
        <v>9</v>
      </c>
      <c r="B32" s="60">
        <f>NPV(0.1, B6:B20)+B4</f>
        <v>1034.687268217258</v>
      </c>
      <c r="C32" s="21">
        <f t="shared" ref="C32:I32" si="5">NPV(0.1, C6:C20)+C4</f>
        <v>570.99924868519702</v>
      </c>
      <c r="D32" s="60">
        <f t="shared" si="5"/>
        <v>1180.7553934564112</v>
      </c>
      <c r="E32" s="60">
        <f t="shared" si="5"/>
        <v>1262.1839259004446</v>
      </c>
      <c r="F32" s="21">
        <f t="shared" si="5"/>
        <v>648.51130883170117</v>
      </c>
      <c r="G32" s="21">
        <f t="shared" si="5"/>
        <v>0</v>
      </c>
      <c r="H32" s="21">
        <f t="shared" si="5"/>
        <v>825.20443834561411</v>
      </c>
      <c r="I32" s="60">
        <f>NPV(0.1, I6:I20)+I4</f>
        <v>914.92205307788754</v>
      </c>
      <c r="K32" s="20" t="s">
        <v>26</v>
      </c>
      <c r="L32" s="20" t="s">
        <v>27</v>
      </c>
    </row>
    <row r="33" spans="1:12" x14ac:dyDescent="0.2">
      <c r="A33" s="19" t="s">
        <v>10</v>
      </c>
      <c r="B33" s="63">
        <f>NPV(0.11, B6:B20)+B4</f>
        <v>539.70636732775529</v>
      </c>
      <c r="C33" s="63">
        <f t="shared" ref="C33:I33" si="6">NPV(0.11, C6:C20)+C4</f>
        <v>437.53761065667459</v>
      </c>
      <c r="D33" s="21">
        <f t="shared" si="6"/>
        <v>213.3498844595415</v>
      </c>
      <c r="E33" s="63">
        <f t="shared" si="6"/>
        <v>621.60791916551898</v>
      </c>
      <c r="F33" s="21">
        <f t="shared" si="6"/>
        <v>67.217406268666309</v>
      </c>
      <c r="G33" s="21">
        <f t="shared" si="6"/>
        <v>-90.090090090090598</v>
      </c>
      <c r="H33" s="63">
        <f t="shared" si="6"/>
        <v>658.63033014082248</v>
      </c>
      <c r="I33" s="21">
        <f t="shared" si="6"/>
        <v>255.65509985348217</v>
      </c>
      <c r="K33" s="20" t="s">
        <v>28</v>
      </c>
      <c r="L33" s="20" t="s">
        <v>29</v>
      </c>
    </row>
    <row r="34" spans="1:12" ht="17" thickBot="1" x14ac:dyDescent="0.25">
      <c r="A34" s="37" t="s">
        <v>11</v>
      </c>
      <c r="B34" s="32"/>
      <c r="C34" s="32"/>
      <c r="D34" s="32"/>
      <c r="E34" s="32"/>
      <c r="F34" s="32"/>
      <c r="G34" s="32"/>
      <c r="H34" s="46"/>
      <c r="I34" s="46"/>
      <c r="J34" t="s">
        <v>25</v>
      </c>
    </row>
    <row r="35" spans="1:12" ht="17" thickTop="1" x14ac:dyDescent="0.2">
      <c r="A35" s="35"/>
      <c r="B35" s="30"/>
      <c r="C35" s="30"/>
      <c r="D35" s="30"/>
      <c r="E35" s="30"/>
      <c r="F35" s="30"/>
      <c r="G35" s="30"/>
      <c r="H35" s="36"/>
      <c r="I35" s="36"/>
    </row>
    <row r="36" spans="1:12" ht="17" thickBot="1" x14ac:dyDescent="0.25">
      <c r="A36" s="37" t="s">
        <v>5</v>
      </c>
      <c r="B36" s="62">
        <f>IRR(B5:B20, 10)</f>
        <v>0.12172231328603855</v>
      </c>
      <c r="C36" s="62">
        <f t="shared" ref="C36:I36" si="7">IRR(C5:C20, 10)</f>
        <v>0.14450450316645536</v>
      </c>
      <c r="D36" s="61">
        <f t="shared" si="7"/>
        <v>0.1123457499326046</v>
      </c>
      <c r="E36" s="62">
        <f t="shared" si="7"/>
        <v>0.12053096056070123</v>
      </c>
      <c r="F36" s="61">
        <f t="shared" si="7"/>
        <v>0.11121604343279778</v>
      </c>
      <c r="G36" s="61">
        <f t="shared" si="7"/>
        <v>9.9999999999999867E-2</v>
      </c>
      <c r="H36" s="62">
        <f t="shared" si="7"/>
        <v>0.15257139008575282</v>
      </c>
      <c r="I36" s="61">
        <f t="shared" si="7"/>
        <v>0.11406420238345683</v>
      </c>
    </row>
    <row r="37" spans="1:12" ht="17" thickTop="1" x14ac:dyDescent="0.2">
      <c r="A37" s="35"/>
      <c r="B37" s="39"/>
      <c r="C37" s="39"/>
      <c r="D37" s="39"/>
      <c r="E37" s="39"/>
      <c r="F37" s="39"/>
      <c r="G37" s="39"/>
      <c r="H37" s="40"/>
      <c r="I37" s="40"/>
    </row>
    <row r="38" spans="1:12" x14ac:dyDescent="0.2">
      <c r="A38" s="19" t="s">
        <v>14</v>
      </c>
      <c r="B38" s="66">
        <f>-PMT(10%, B27, B32)</f>
        <v>193.94593848815146</v>
      </c>
      <c r="C38" s="66">
        <f>-PMT(10%, C27, C32)</f>
        <v>229.60725075528623</v>
      </c>
      <c r="D38" s="21">
        <f t="shared" ref="D38:I38" si="8">-PMT(10%, D27, D32)</f>
        <v>192.16250276771902</v>
      </c>
      <c r="E38" s="66">
        <f t="shared" si="8"/>
        <v>177.68838981108252</v>
      </c>
      <c r="F38" s="21">
        <f t="shared" si="8"/>
        <v>85.262231126276831</v>
      </c>
      <c r="G38" s="21">
        <f t="shared" si="8"/>
        <v>0</v>
      </c>
      <c r="H38" s="66">
        <f t="shared" si="8"/>
        <v>217.68685197621582</v>
      </c>
      <c r="I38" s="21">
        <f t="shared" si="8"/>
        <v>187.93002149955842</v>
      </c>
    </row>
    <row r="39" spans="1:12" x14ac:dyDescent="0.2">
      <c r="A39" s="19" t="s">
        <v>13</v>
      </c>
      <c r="B39" s="66">
        <f>-PMT(11%, B27, B33)</f>
        <v>104.87631026324883</v>
      </c>
      <c r="C39" s="66">
        <f t="shared" ref="C39:I39" si="9">-PMT(11%, C27, C33)</f>
        <v>179.04610873402908</v>
      </c>
      <c r="D39" s="21">
        <f t="shared" si="9"/>
        <v>36.22711485231482</v>
      </c>
      <c r="E39" s="66">
        <f t="shared" si="9"/>
        <v>92.091830200695171</v>
      </c>
      <c r="F39" s="21">
        <f t="shared" si="9"/>
        <v>9.3476047033151186</v>
      </c>
      <c r="G39" s="21">
        <f t="shared" si="9"/>
        <v>-100.00000000000058</v>
      </c>
      <c r="H39" s="66">
        <f t="shared" si="9"/>
        <v>178.20581228199413</v>
      </c>
      <c r="I39" s="21">
        <f t="shared" si="9"/>
        <v>54.253915901698349</v>
      </c>
    </row>
    <row r="40" spans="1:12" ht="17" thickBot="1" x14ac:dyDescent="0.25">
      <c r="A40" s="37" t="s">
        <v>17</v>
      </c>
      <c r="B40" s="32"/>
      <c r="C40" s="32"/>
      <c r="D40" s="32"/>
      <c r="E40" s="32"/>
      <c r="F40" s="32"/>
      <c r="G40" s="32"/>
      <c r="H40" s="38"/>
      <c r="I40" s="38"/>
    </row>
    <row r="41" spans="1:12" ht="17" thickTop="1" x14ac:dyDescent="0.2">
      <c r="A41" s="33"/>
      <c r="B41" s="41"/>
      <c r="C41" s="41"/>
      <c r="D41" s="41"/>
      <c r="E41" s="41"/>
      <c r="F41" s="41"/>
      <c r="G41" s="41"/>
      <c r="H41" s="42"/>
      <c r="I41" s="42"/>
    </row>
    <row r="42" spans="1:12" ht="17" thickBot="1" x14ac:dyDescent="0.25">
      <c r="A42" s="37" t="s">
        <v>12</v>
      </c>
      <c r="B42" s="43"/>
      <c r="C42" s="43"/>
      <c r="D42" s="43"/>
      <c r="E42" s="43"/>
      <c r="F42" s="43"/>
      <c r="G42" s="43"/>
      <c r="H42" s="43"/>
      <c r="I42" s="43"/>
    </row>
    <row r="43" spans="1:12" ht="17" thickTop="1" x14ac:dyDescent="0.2">
      <c r="A43" s="33" t="s">
        <v>18</v>
      </c>
      <c r="C43" t="s">
        <v>20</v>
      </c>
    </row>
    <row r="44" spans="1:12" x14ac:dyDescent="0.2">
      <c r="A44" s="33" t="s">
        <v>19</v>
      </c>
      <c r="C44" t="s">
        <v>21</v>
      </c>
    </row>
    <row r="46" spans="1:12" x14ac:dyDescent="0.2">
      <c r="A46" s="34" t="s">
        <v>22</v>
      </c>
    </row>
  </sheetData>
  <mergeCells count="8">
    <mergeCell ref="H2:H3"/>
    <mergeCell ref="I2:I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5E813-23C0-B04A-BB89-02BD40EEDDC4}">
  <dimension ref="B4:R35"/>
  <sheetViews>
    <sheetView topLeftCell="A8" zoomScale="190" zoomScaleNormal="190" workbookViewId="0">
      <selection activeCell="C11" sqref="C11"/>
    </sheetView>
  </sheetViews>
  <sheetFormatPr baseColWidth="10" defaultRowHeight="15" x14ac:dyDescent="0.2"/>
  <cols>
    <col min="1" max="2" width="10.83203125" style="67"/>
    <col min="3" max="3" width="20.1640625" style="67" bestFit="1" customWidth="1"/>
    <col min="4" max="4" width="9.1640625" style="67" customWidth="1"/>
    <col min="5" max="5" width="7.83203125" style="67" bestFit="1" customWidth="1"/>
    <col min="6" max="16384" width="10.83203125" style="67"/>
  </cols>
  <sheetData>
    <row r="4" spans="2:12" x14ac:dyDescent="0.2">
      <c r="C4" s="69" t="s">
        <v>60</v>
      </c>
      <c r="D4" s="69"/>
      <c r="E4" s="72" t="s">
        <v>59</v>
      </c>
      <c r="F4" s="67" t="s">
        <v>58</v>
      </c>
      <c r="H4" s="67" t="s">
        <v>57</v>
      </c>
      <c r="I4" s="67" t="s">
        <v>56</v>
      </c>
      <c r="J4" s="67" t="s">
        <v>55</v>
      </c>
      <c r="K4" s="67" t="s">
        <v>54</v>
      </c>
    </row>
    <row r="5" spans="2:12" x14ac:dyDescent="0.2">
      <c r="B5" s="84">
        <v>45657</v>
      </c>
      <c r="C5" s="75">
        <v>-1000</v>
      </c>
      <c r="D5" s="75"/>
      <c r="E5" s="75">
        <v>-1000</v>
      </c>
      <c r="F5" s="67">
        <f>E5-C5</f>
        <v>0</v>
      </c>
      <c r="H5" s="67" t="s">
        <v>53</v>
      </c>
      <c r="I5" s="67" t="s">
        <v>52</v>
      </c>
    </row>
    <row r="6" spans="2:12" x14ac:dyDescent="0.2">
      <c r="B6" s="84">
        <v>45838</v>
      </c>
      <c r="C6" s="75">
        <v>500</v>
      </c>
      <c r="D6" s="75"/>
      <c r="E6" s="75">
        <v>100</v>
      </c>
      <c r="F6" s="67">
        <f>E6-C6</f>
        <v>-400</v>
      </c>
    </row>
    <row r="7" spans="2:12" x14ac:dyDescent="0.2">
      <c r="B7" s="84">
        <v>45992</v>
      </c>
      <c r="C7" s="75">
        <v>400</v>
      </c>
      <c r="D7" s="75"/>
      <c r="E7" s="75">
        <v>300</v>
      </c>
      <c r="F7" s="67">
        <f>E7-C7</f>
        <v>-100</v>
      </c>
      <c r="H7" s="67" t="s">
        <v>51</v>
      </c>
      <c r="I7" s="67" t="s">
        <v>50</v>
      </c>
      <c r="J7" s="67" t="s">
        <v>49</v>
      </c>
    </row>
    <row r="8" spans="2:12" x14ac:dyDescent="0.2">
      <c r="B8" s="84">
        <v>46599</v>
      </c>
      <c r="C8" s="75">
        <v>300</v>
      </c>
      <c r="D8" s="75"/>
      <c r="E8" s="75">
        <v>400</v>
      </c>
      <c r="F8" s="67">
        <f>E8-C8</f>
        <v>100</v>
      </c>
    </row>
    <row r="9" spans="2:12" x14ac:dyDescent="0.2">
      <c r="B9" s="84">
        <v>46630</v>
      </c>
      <c r="C9" s="75">
        <v>100</v>
      </c>
      <c r="D9" s="75"/>
      <c r="E9" s="75">
        <v>600</v>
      </c>
      <c r="F9" s="67">
        <f>E9-C9</f>
        <v>500</v>
      </c>
      <c r="L9" s="67" t="s">
        <v>48</v>
      </c>
    </row>
    <row r="10" spans="2:12" x14ac:dyDescent="0.2">
      <c r="B10" s="83" t="s">
        <v>23</v>
      </c>
      <c r="C10" s="79">
        <f>NPV(10%, C6:C9)+C5</f>
        <v>78.819752749129066</v>
      </c>
      <c r="D10" s="79"/>
      <c r="E10" s="79">
        <f>NPV(0.07, E6:E9)+E5</f>
        <v>139.74584039205297</v>
      </c>
      <c r="F10" s="69"/>
      <c r="L10" s="67" t="s">
        <v>47</v>
      </c>
    </row>
    <row r="11" spans="2:12" x14ac:dyDescent="0.2">
      <c r="B11" s="69" t="s">
        <v>5</v>
      </c>
      <c r="C11" s="82">
        <f>IRR(C5:C9, 10%)</f>
        <v>0.14488844278532143</v>
      </c>
      <c r="D11" s="82"/>
      <c r="E11" s="82">
        <f>IRR(E5:E9, 20)</f>
        <v>0.11790555626095811</v>
      </c>
      <c r="H11" s="67" t="s">
        <v>46</v>
      </c>
      <c r="I11" s="67" t="s">
        <v>45</v>
      </c>
      <c r="L11" s="67" t="s">
        <v>44</v>
      </c>
    </row>
    <row r="12" spans="2:12" x14ac:dyDescent="0.2">
      <c r="B12" s="69" t="s">
        <v>43</v>
      </c>
      <c r="C12" s="81"/>
      <c r="D12" s="81"/>
      <c r="E12" s="69"/>
      <c r="F12" s="68">
        <f>IRR(F5:F9)</f>
        <v>7.1672799779938456E-2</v>
      </c>
    </row>
    <row r="14" spans="2:12" x14ac:dyDescent="0.2">
      <c r="B14" s="69" t="s">
        <v>24</v>
      </c>
      <c r="K14" s="67" t="s">
        <v>42</v>
      </c>
    </row>
    <row r="15" spans="2:12" x14ac:dyDescent="0.2">
      <c r="F15" s="80" t="s">
        <v>15</v>
      </c>
      <c r="G15" s="80" t="s">
        <v>16</v>
      </c>
      <c r="K15" s="67">
        <v>-1000</v>
      </c>
    </row>
    <row r="16" spans="2:12" x14ac:dyDescent="0.2">
      <c r="B16" s="69" t="s">
        <v>41</v>
      </c>
      <c r="C16" s="79">
        <f>XNPV(10%, C6:C9, B6:B9)+C5</f>
        <v>211.48631341109558</v>
      </c>
      <c r="F16" s="75">
        <v>-1000</v>
      </c>
      <c r="G16" s="75">
        <v>1000</v>
      </c>
      <c r="K16" s="67">
        <v>700</v>
      </c>
    </row>
    <row r="17" spans="2:18" ht="17" thickBot="1" x14ac:dyDescent="0.25">
      <c r="B17" s="67" t="s">
        <v>40</v>
      </c>
      <c r="C17" s="78">
        <f>XIRR(C5:C9, B5:B9)</f>
        <v>0.24703307747840883</v>
      </c>
      <c r="F17" s="77">
        <v>1500</v>
      </c>
      <c r="G17" s="77">
        <v>-1500</v>
      </c>
      <c r="K17" s="67">
        <v>500</v>
      </c>
    </row>
    <row r="18" spans="2:18" ht="16" thickTop="1" x14ac:dyDescent="0.2">
      <c r="E18" s="75" t="s">
        <v>5</v>
      </c>
      <c r="F18" s="76">
        <f>IRR(F16:F17)</f>
        <v>0.49999999999999978</v>
      </c>
      <c r="G18" s="76">
        <f>IRR(G16:G17)</f>
        <v>0.49999999999999978</v>
      </c>
      <c r="K18" s="67">
        <v>300</v>
      </c>
    </row>
    <row r="19" spans="2:18" x14ac:dyDescent="0.2">
      <c r="E19" s="75" t="s">
        <v>23</v>
      </c>
      <c r="F19" s="74">
        <f>NPV(0.1, F17)+F16</f>
        <v>363.63636363636351</v>
      </c>
      <c r="G19" s="74">
        <f>NPV(0.1, G17)+G16</f>
        <v>-363.63636363636351</v>
      </c>
      <c r="K19" s="67">
        <f>-1000+700</f>
        <v>-300</v>
      </c>
    </row>
    <row r="20" spans="2:18" x14ac:dyDescent="0.2">
      <c r="K20" s="67">
        <v>500</v>
      </c>
    </row>
    <row r="21" spans="2:18" x14ac:dyDescent="0.2">
      <c r="K21" s="67">
        <v>300</v>
      </c>
    </row>
    <row r="22" spans="2:18" x14ac:dyDescent="0.2">
      <c r="K22" s="67">
        <v>-300</v>
      </c>
    </row>
    <row r="27" spans="2:18" x14ac:dyDescent="0.2">
      <c r="J27" s="67" t="s">
        <v>37</v>
      </c>
      <c r="K27" s="67">
        <v>1</v>
      </c>
      <c r="L27" s="67">
        <v>2</v>
      </c>
      <c r="M27" s="67">
        <v>3</v>
      </c>
      <c r="N27" s="69">
        <v>4</v>
      </c>
      <c r="O27" s="67">
        <v>5</v>
      </c>
      <c r="P27" s="67">
        <v>6</v>
      </c>
    </row>
    <row r="28" spans="2:18" x14ac:dyDescent="0.2">
      <c r="I28" s="67" t="s">
        <v>39</v>
      </c>
      <c r="J28" s="67">
        <v>-1000</v>
      </c>
      <c r="K28" s="67">
        <v>500</v>
      </c>
      <c r="L28" s="67">
        <v>700</v>
      </c>
      <c r="M28" s="67">
        <v>900</v>
      </c>
      <c r="N28" s="69">
        <v>-200</v>
      </c>
      <c r="O28" s="67">
        <v>700</v>
      </c>
      <c r="P28" s="67">
        <v>500</v>
      </c>
      <c r="Q28" s="67" t="s">
        <v>5</v>
      </c>
      <c r="R28" s="73">
        <f>IRR(J28:P28)</f>
        <v>0.50499680291151661</v>
      </c>
    </row>
    <row r="29" spans="2:18" x14ac:dyDescent="0.2">
      <c r="J29" s="67">
        <f>-200/(1.1)^4</f>
        <v>-136.60269107301411</v>
      </c>
      <c r="P29" s="67">
        <f>O28*(1.15)^1</f>
        <v>804.99999999999989</v>
      </c>
      <c r="Q29" s="72" t="s">
        <v>24</v>
      </c>
      <c r="R29" s="71">
        <f>MIRR(J28:P28, 10%, 15%)</f>
        <v>0.27591059074358681</v>
      </c>
    </row>
    <row r="30" spans="2:18" x14ac:dyDescent="0.2">
      <c r="P30" s="67">
        <f>M28*(1.15)^3</f>
        <v>1368.7874999999997</v>
      </c>
    </row>
    <row r="31" spans="2:18" x14ac:dyDescent="0.2">
      <c r="P31" s="67">
        <f>L28*(1.15)^4</f>
        <v>1224.3043749999997</v>
      </c>
    </row>
    <row r="32" spans="2:18" x14ac:dyDescent="0.2">
      <c r="P32" s="67">
        <f>K28*(1.15)^5</f>
        <v>1005.6785937499997</v>
      </c>
    </row>
    <row r="33" spans="9:16" x14ac:dyDescent="0.2">
      <c r="I33" s="70" t="s">
        <v>38</v>
      </c>
      <c r="J33" s="70">
        <f>SUM(J28:J29)</f>
        <v>-1136.6026910730141</v>
      </c>
      <c r="K33" s="70">
        <v>0</v>
      </c>
      <c r="L33" s="70">
        <v>0</v>
      </c>
      <c r="M33" s="70">
        <v>0</v>
      </c>
      <c r="N33" s="70">
        <v>0</v>
      </c>
      <c r="O33" s="70">
        <v>0</v>
      </c>
      <c r="P33" s="70">
        <f>SUM(P28:P32)</f>
        <v>4903.7704687499991</v>
      </c>
    </row>
    <row r="35" spans="9:16" x14ac:dyDescent="0.2">
      <c r="I35" s="69" t="s">
        <v>24</v>
      </c>
      <c r="J35" s="68">
        <f>IRR(J33:P33)</f>
        <v>0.27591059074358659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B51ED-06C4-BF41-8A4F-6F8B735ADEDD}">
  <dimension ref="D2:T20"/>
  <sheetViews>
    <sheetView tabSelected="1" topLeftCell="J1" zoomScale="150" zoomScaleNormal="150" workbookViewId="0">
      <selection activeCell="R18" sqref="R18"/>
    </sheetView>
  </sheetViews>
  <sheetFormatPr baseColWidth="10" defaultRowHeight="16" x14ac:dyDescent="0.2"/>
  <cols>
    <col min="11" max="11" width="18.33203125" bestFit="1" customWidth="1"/>
    <col min="12" max="12" width="16.83203125" bestFit="1" customWidth="1"/>
    <col min="17" max="17" width="20.33203125" bestFit="1" customWidth="1"/>
  </cols>
  <sheetData>
    <row r="2" spans="4:20" x14ac:dyDescent="0.2">
      <c r="F2" t="s">
        <v>31</v>
      </c>
      <c r="K2" t="s">
        <v>31</v>
      </c>
      <c r="L2" t="s">
        <v>32</v>
      </c>
    </row>
    <row r="3" spans="4:20" ht="17" thickBot="1" x14ac:dyDescent="0.25"/>
    <row r="4" spans="4:20" ht="17" thickBot="1" x14ac:dyDescent="0.25">
      <c r="D4">
        <v>0</v>
      </c>
      <c r="F4" s="7">
        <v>-10000</v>
      </c>
      <c r="K4" s="7">
        <v>-10000</v>
      </c>
      <c r="L4" s="7">
        <v>-10000</v>
      </c>
    </row>
    <row r="5" spans="4:20" x14ac:dyDescent="0.2">
      <c r="D5">
        <v>1</v>
      </c>
      <c r="F5" s="26">
        <v>7000</v>
      </c>
      <c r="K5" s="26">
        <v>7000</v>
      </c>
      <c r="L5">
        <v>1400</v>
      </c>
    </row>
    <row r="6" spans="4:20" ht="17" thickBot="1" x14ac:dyDescent="0.25">
      <c r="D6">
        <v>2</v>
      </c>
      <c r="F6" s="27">
        <v>5000</v>
      </c>
      <c r="K6" s="27">
        <v>5000</v>
      </c>
      <c r="L6">
        <v>1400</v>
      </c>
    </row>
    <row r="7" spans="4:20" ht="17" thickBot="1" x14ac:dyDescent="0.25">
      <c r="D7">
        <v>3</v>
      </c>
      <c r="F7" s="27">
        <v>100</v>
      </c>
      <c r="G7" s="7">
        <v>-10000</v>
      </c>
      <c r="K7" s="1">
        <v>-9900</v>
      </c>
      <c r="L7">
        <v>1400</v>
      </c>
      <c r="Q7" t="s">
        <v>37</v>
      </c>
    </row>
    <row r="8" spans="4:20" x14ac:dyDescent="0.2">
      <c r="D8">
        <v>4</v>
      </c>
      <c r="G8" s="26">
        <v>7000</v>
      </c>
      <c r="K8" s="26">
        <v>7000</v>
      </c>
      <c r="L8">
        <v>1400</v>
      </c>
      <c r="P8" t="s">
        <v>15</v>
      </c>
      <c r="Q8">
        <v>-100</v>
      </c>
      <c r="R8">
        <v>50</v>
      </c>
      <c r="S8">
        <v>70</v>
      </c>
      <c r="T8">
        <v>30</v>
      </c>
    </row>
    <row r="9" spans="4:20" ht="17" thickBot="1" x14ac:dyDescent="0.25">
      <c r="D9">
        <v>5</v>
      </c>
      <c r="G9" s="27">
        <v>5000</v>
      </c>
      <c r="K9" s="27">
        <v>5000</v>
      </c>
      <c r="L9">
        <v>1400</v>
      </c>
    </row>
    <row r="10" spans="4:20" ht="17" thickBot="1" x14ac:dyDescent="0.25">
      <c r="D10">
        <v>6</v>
      </c>
      <c r="G10" s="27">
        <v>100</v>
      </c>
      <c r="H10" s="7">
        <v>-10000</v>
      </c>
      <c r="K10" s="1">
        <v>-9900</v>
      </c>
      <c r="L10">
        <v>1400</v>
      </c>
      <c r="P10" t="s">
        <v>23</v>
      </c>
      <c r="Q10" s="57">
        <f>NPV(10%, R8:T8)+Q8</f>
        <v>25.845229151014266</v>
      </c>
    </row>
    <row r="11" spans="4:20" x14ac:dyDescent="0.2">
      <c r="D11">
        <v>7</v>
      </c>
      <c r="H11" s="26">
        <v>7000</v>
      </c>
      <c r="K11" s="26">
        <v>7000</v>
      </c>
      <c r="L11">
        <v>1400</v>
      </c>
    </row>
    <row r="12" spans="4:20" ht="17" thickBot="1" x14ac:dyDescent="0.25">
      <c r="D12">
        <v>8</v>
      </c>
      <c r="H12" s="27">
        <v>5000</v>
      </c>
      <c r="K12" s="27">
        <v>5000</v>
      </c>
      <c r="L12">
        <v>1400</v>
      </c>
    </row>
    <row r="13" spans="4:20" ht="17" thickBot="1" x14ac:dyDescent="0.25">
      <c r="D13">
        <v>9</v>
      </c>
      <c r="H13" s="27">
        <v>100</v>
      </c>
      <c r="I13" s="7">
        <v>-10000</v>
      </c>
      <c r="K13" s="1">
        <v>-9900</v>
      </c>
      <c r="L13">
        <v>1400</v>
      </c>
      <c r="P13" t="s">
        <v>34</v>
      </c>
      <c r="Q13">
        <v>25.85</v>
      </c>
    </row>
    <row r="14" spans="4:20" x14ac:dyDescent="0.2">
      <c r="D14">
        <v>10</v>
      </c>
      <c r="I14" s="26">
        <v>7000</v>
      </c>
      <c r="K14" s="26">
        <v>7000</v>
      </c>
      <c r="L14">
        <v>1400</v>
      </c>
    </row>
    <row r="15" spans="4:20" ht="17" thickBot="1" x14ac:dyDescent="0.25">
      <c r="D15">
        <v>11</v>
      </c>
      <c r="I15" s="27">
        <v>5000</v>
      </c>
      <c r="K15" s="27">
        <v>5000</v>
      </c>
      <c r="L15">
        <v>1400</v>
      </c>
      <c r="Q15" t="s">
        <v>35</v>
      </c>
      <c r="R15" s="65">
        <f>-PMT(10%, 3, Q13)</f>
        <v>10.394667673716015</v>
      </c>
    </row>
    <row r="16" spans="4:20" ht="17" thickBot="1" x14ac:dyDescent="0.25">
      <c r="D16">
        <v>12</v>
      </c>
      <c r="I16" s="27">
        <v>100</v>
      </c>
      <c r="J16" s="7">
        <v>-10000</v>
      </c>
      <c r="K16" s="1">
        <v>-9900</v>
      </c>
      <c r="L16">
        <v>1400</v>
      </c>
    </row>
    <row r="17" spans="4:20" x14ac:dyDescent="0.2">
      <c r="D17">
        <v>13</v>
      </c>
      <c r="J17" s="26">
        <v>7000</v>
      </c>
      <c r="K17" s="26">
        <v>7000</v>
      </c>
      <c r="L17">
        <v>1400</v>
      </c>
    </row>
    <row r="18" spans="4:20" x14ac:dyDescent="0.2">
      <c r="D18">
        <v>14</v>
      </c>
      <c r="J18" s="27">
        <v>5000</v>
      </c>
      <c r="K18" s="27">
        <v>5000</v>
      </c>
      <c r="L18">
        <v>1400</v>
      </c>
      <c r="P18" t="s">
        <v>36</v>
      </c>
      <c r="Q18">
        <v>0</v>
      </c>
      <c r="R18">
        <v>10.39</v>
      </c>
      <c r="S18">
        <v>10.39</v>
      </c>
      <c r="T18">
        <v>10.39</v>
      </c>
    </row>
    <row r="19" spans="4:20" x14ac:dyDescent="0.2">
      <c r="D19">
        <v>15</v>
      </c>
      <c r="J19" s="27">
        <v>100</v>
      </c>
      <c r="K19" s="1">
        <v>100</v>
      </c>
      <c r="L19">
        <v>1400</v>
      </c>
    </row>
    <row r="20" spans="4:20" x14ac:dyDescent="0.2">
      <c r="J20" t="s">
        <v>23</v>
      </c>
      <c r="K20" s="64">
        <f>NPV(10%, K5:K19)+K4</f>
        <v>1746.4110044695881</v>
      </c>
      <c r="L20" s="64">
        <f>NPV(10%, L5:L19)+L4</f>
        <v>648.51130883170117</v>
      </c>
      <c r="P20" t="s">
        <v>23</v>
      </c>
      <c r="Q20" s="57">
        <f>NPV(10%, R18:T18)+Q18</f>
        <v>25.838392186326068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Excercise - 1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Mohammad Shameem Jawed</cp:lastModifiedBy>
  <cp:lastPrinted>2019-11-18T04:46:08Z</cp:lastPrinted>
  <dcterms:created xsi:type="dcterms:W3CDTF">2019-09-21T10:28:02Z</dcterms:created>
  <dcterms:modified xsi:type="dcterms:W3CDTF">2024-11-23T07:46:11Z</dcterms:modified>
</cp:coreProperties>
</file>