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orporate finance\Class 2018\"/>
    </mc:Choice>
  </mc:AlternateContent>
  <xr:revisionPtr revIDLastSave="0" documentId="13_ncr:1_{40C02BD1-5449-400B-89C8-C8F48F9B29A3}" xr6:coauthVersionLast="45" xr6:coauthVersionMax="45" xr10:uidLastSave="{00000000-0000-0000-0000-000000000000}"/>
  <bookViews>
    <workbookView xWindow="-120" yWindow="-120" windowWidth="20730" windowHeight="11160" firstSheet="2" activeTab="2" xr2:uid="{6C40F75A-F3EA-447C-8EF4-FCCC61524D71}"/>
  </bookViews>
  <sheets>
    <sheet name="Sheet1" sheetId="1" r:id="rId1"/>
    <sheet name="Work-Sheet" sheetId="2" r:id="rId2"/>
    <sheet name="Bond rating calculation" sheetId="5" r:id="rId3"/>
    <sheet name="Sheet3" sheetId="11" r:id="rId4"/>
    <sheet name="Droping Income by 10%" sheetId="12" r:id="rId5"/>
  </sheets>
  <definedNames>
    <definedName name="_xlnm._FilterDatabase" localSheetId="0" hidden="1">Sheet1!$A$1:$R$36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" i="12" l="1"/>
  <c r="S12" i="12"/>
  <c r="S11" i="12"/>
  <c r="S17" i="12"/>
  <c r="S16" i="12"/>
  <c r="S13" i="12"/>
  <c r="S15" i="12"/>
  <c r="S14" i="12"/>
  <c r="S10" i="12"/>
  <c r="S9" i="12"/>
  <c r="S8" i="12"/>
  <c r="R12" i="12"/>
  <c r="R13" i="12"/>
  <c r="R17" i="12"/>
  <c r="R16" i="12"/>
  <c r="R15" i="12"/>
  <c r="R14" i="12"/>
  <c r="R11" i="12"/>
  <c r="R10" i="12"/>
  <c r="R9" i="12"/>
  <c r="R8" i="12"/>
  <c r="R7" i="12"/>
  <c r="P7" i="12"/>
  <c r="O7" i="12"/>
  <c r="P12" i="12"/>
  <c r="P11" i="12"/>
  <c r="P10" i="12"/>
  <c r="P9" i="12"/>
  <c r="P8" i="12"/>
  <c r="P17" i="12"/>
  <c r="P16" i="12"/>
  <c r="P15" i="12"/>
  <c r="P14" i="12"/>
  <c r="P13" i="12"/>
  <c r="O12" i="12"/>
  <c r="O11" i="12"/>
  <c r="N11" i="12"/>
  <c r="O10" i="12"/>
  <c r="O9" i="12"/>
  <c r="O8" i="12"/>
  <c r="O17" i="12"/>
  <c r="O16" i="12"/>
  <c r="O15" i="12"/>
  <c r="O14" i="12"/>
  <c r="N12" i="12"/>
  <c r="N15" i="12"/>
  <c r="N14" i="12"/>
  <c r="N16" i="12"/>
  <c r="N13" i="12"/>
  <c r="N10" i="12"/>
  <c r="N9" i="12"/>
  <c r="N8" i="12"/>
  <c r="N7" i="12"/>
  <c r="M12" i="12"/>
  <c r="M11" i="12"/>
  <c r="M10" i="12"/>
  <c r="M9" i="12"/>
  <c r="M13" i="12"/>
  <c r="M16" i="12"/>
  <c r="M15" i="12"/>
  <c r="M14" i="12"/>
  <c r="M17" i="12"/>
  <c r="M8" i="12"/>
  <c r="M7" i="12"/>
  <c r="K8" i="12"/>
  <c r="K7" i="12"/>
  <c r="K13" i="12"/>
  <c r="K16" i="12"/>
  <c r="K15" i="12"/>
  <c r="K14" i="12"/>
  <c r="K17" i="12" s="1"/>
  <c r="J17" i="12"/>
  <c r="J10" i="12"/>
  <c r="K10" i="12" s="1"/>
  <c r="J8" i="12"/>
  <c r="J9" i="12" s="1"/>
  <c r="J7" i="12"/>
  <c r="D18" i="11"/>
  <c r="N17" i="12" l="1"/>
  <c r="K9" i="12"/>
  <c r="K11" i="12" s="1"/>
  <c r="J11" i="12"/>
  <c r="J12" i="12" s="1"/>
  <c r="K12" i="12"/>
  <c r="D17" i="11"/>
  <c r="D4" i="11"/>
  <c r="D5" i="11"/>
  <c r="D6" i="11"/>
  <c r="D7" i="11"/>
  <c r="D8" i="11"/>
  <c r="D9" i="11"/>
  <c r="D10" i="11"/>
  <c r="D11" i="11"/>
  <c r="D12" i="11"/>
  <c r="D13" i="11"/>
  <c r="D14" i="11"/>
  <c r="D15" i="11"/>
  <c r="D16" i="11"/>
  <c r="J42" i="5"/>
  <c r="J43" i="5"/>
  <c r="J44" i="5"/>
  <c r="J45" i="5"/>
  <c r="J46" i="5"/>
  <c r="J47" i="5"/>
  <c r="J48" i="5"/>
  <c r="J49" i="5"/>
  <c r="J50" i="5"/>
  <c r="J41" i="5"/>
  <c r="P30" i="5"/>
  <c r="P31" i="5"/>
  <c r="P32" i="5"/>
  <c r="P33" i="5"/>
  <c r="P34" i="5"/>
  <c r="P35" i="5"/>
  <c r="P36" i="5"/>
  <c r="P37" i="5"/>
  <c r="P38" i="5"/>
  <c r="P29" i="5"/>
  <c r="T28" i="5"/>
  <c r="M30" i="5"/>
  <c r="M31" i="5"/>
  <c r="M32" i="5"/>
  <c r="M33" i="5"/>
  <c r="M34" i="5"/>
  <c r="M35" i="5"/>
  <c r="M36" i="5"/>
  <c r="M37" i="5"/>
  <c r="M38" i="5"/>
  <c r="M29" i="5"/>
  <c r="S12" i="5" l="1"/>
  <c r="R11" i="5"/>
  <c r="R12" i="5"/>
  <c r="L42" i="5"/>
  <c r="L43" i="5"/>
  <c r="L44" i="5"/>
  <c r="L45" i="5"/>
  <c r="L46" i="5"/>
  <c r="L47" i="5"/>
  <c r="L48" i="5"/>
  <c r="L49" i="5"/>
  <c r="L50" i="5"/>
  <c r="L41" i="5"/>
  <c r="I42" i="5"/>
  <c r="I43" i="5"/>
  <c r="I44" i="5"/>
  <c r="I45" i="5"/>
  <c r="I46" i="5"/>
  <c r="I47" i="5"/>
  <c r="I48" i="5"/>
  <c r="I49" i="5"/>
  <c r="I50" i="5"/>
  <c r="I41" i="5"/>
  <c r="H42" i="5"/>
  <c r="H43" i="5"/>
  <c r="H44" i="5"/>
  <c r="H45" i="5"/>
  <c r="H46" i="5"/>
  <c r="H47" i="5"/>
  <c r="H48" i="5"/>
  <c r="H49" i="5"/>
  <c r="H50" i="5"/>
  <c r="H41" i="5"/>
  <c r="K30" i="5"/>
  <c r="K31" i="5"/>
  <c r="K32" i="5"/>
  <c r="K33" i="5"/>
  <c r="K34" i="5"/>
  <c r="K35" i="5"/>
  <c r="K36" i="5"/>
  <c r="K37" i="5"/>
  <c r="K38" i="5"/>
  <c r="K29" i="5"/>
  <c r="L6" i="5"/>
  <c r="L7" i="5"/>
  <c r="L9" i="5"/>
  <c r="L10" i="5"/>
  <c r="H30" i="5"/>
  <c r="H31" i="5"/>
  <c r="H32" i="5"/>
  <c r="H33" i="5"/>
  <c r="H34" i="5"/>
  <c r="H35" i="5"/>
  <c r="H36" i="5"/>
  <c r="H37" i="5"/>
  <c r="H38" i="5"/>
  <c r="H29" i="5"/>
  <c r="J28" i="5"/>
  <c r="O7" i="5"/>
  <c r="M18" i="5"/>
  <c r="M19" i="5"/>
  <c r="M20" i="5"/>
  <c r="M21" i="5"/>
  <c r="M22" i="5"/>
  <c r="M23" i="5"/>
  <c r="M24" i="5"/>
  <c r="M25" i="5"/>
  <c r="M26" i="5"/>
  <c r="M17" i="5"/>
  <c r="J18" i="5"/>
  <c r="L18" i="5" s="1"/>
  <c r="J19" i="5"/>
  <c r="J20" i="5"/>
  <c r="J21" i="5"/>
  <c r="J22" i="5"/>
  <c r="J23" i="5"/>
  <c r="J24" i="5"/>
  <c r="J25" i="5"/>
  <c r="J26" i="5"/>
  <c r="L26" i="5" s="1"/>
  <c r="J17" i="5"/>
  <c r="I25" i="5"/>
  <c r="I26" i="5" s="1"/>
  <c r="H24" i="5"/>
  <c r="H22" i="5"/>
  <c r="H19" i="5"/>
  <c r="H18" i="5"/>
  <c r="O13" i="5"/>
  <c r="I19" i="5" s="1"/>
  <c r="I31" i="5" s="1"/>
  <c r="O6" i="5"/>
  <c r="M8" i="5"/>
  <c r="O8" i="5" s="1"/>
  <c r="M12" i="5"/>
  <c r="M13" i="5" s="1"/>
  <c r="I18" i="5" s="1"/>
  <c r="M7" i="5"/>
  <c r="M6" i="5"/>
  <c r="AF7" i="5"/>
  <c r="AD12" i="5"/>
  <c r="AD13" i="5" s="1"/>
  <c r="AF13" i="5" s="1"/>
  <c r="AC8" i="5"/>
  <c r="AD8" i="5" s="1"/>
  <c r="AC7" i="5"/>
  <c r="AD7" i="5" s="1"/>
  <c r="AC6" i="5"/>
  <c r="AF6" i="5" s="1"/>
  <c r="AA12" i="5"/>
  <c r="AA13" i="5" s="1"/>
  <c r="AC13" i="5" s="1"/>
  <c r="X12" i="5"/>
  <c r="X13" i="5" s="1"/>
  <c r="Z13" i="5" s="1"/>
  <c r="X11" i="5"/>
  <c r="W12" i="5"/>
  <c r="W13" i="5" s="1"/>
  <c r="T12" i="5"/>
  <c r="T13" i="5" s="1"/>
  <c r="I20" i="5" s="1"/>
  <c r="I32" i="5" s="1"/>
  <c r="T11" i="5"/>
  <c r="H20" i="5" s="1"/>
  <c r="S11" i="5"/>
  <c r="S13" i="5"/>
  <c r="S8" i="5"/>
  <c r="T8" i="5" s="1"/>
  <c r="R13" i="5"/>
  <c r="H13" i="5"/>
  <c r="Q13" i="5" s="1"/>
  <c r="L25" i="5" l="1"/>
  <c r="L20" i="5"/>
  <c r="L19" i="5"/>
  <c r="N19" i="5" s="1"/>
  <c r="L22" i="5"/>
  <c r="I23" i="5"/>
  <c r="I35" i="5" s="1"/>
  <c r="N26" i="5"/>
  <c r="N18" i="5"/>
  <c r="O25" i="5"/>
  <c r="J37" i="5" s="1"/>
  <c r="N37" i="5" s="1"/>
  <c r="O37" i="5" s="1"/>
  <c r="I38" i="5"/>
  <c r="O19" i="5"/>
  <c r="J31" i="5" s="1"/>
  <c r="N31" i="5" s="1"/>
  <c r="O31" i="5" s="1"/>
  <c r="I30" i="5"/>
  <c r="O18" i="5"/>
  <c r="J30" i="5" s="1"/>
  <c r="N30" i="5" s="1"/>
  <c r="O30" i="5" s="1"/>
  <c r="O20" i="5"/>
  <c r="J32" i="5" s="1"/>
  <c r="N32" i="5" s="1"/>
  <c r="O32" i="5" s="1"/>
  <c r="I17" i="5"/>
  <c r="I29" i="5" s="1"/>
  <c r="I21" i="5"/>
  <c r="L21" i="5" s="1"/>
  <c r="N25" i="5"/>
  <c r="N20" i="5"/>
  <c r="I37" i="5"/>
  <c r="I24" i="5"/>
  <c r="I36" i="5" s="1"/>
  <c r="O26" i="5"/>
  <c r="J38" i="5" s="1"/>
  <c r="N38" i="5" s="1"/>
  <c r="O38" i="5" s="1"/>
  <c r="I22" i="5"/>
  <c r="M9" i="5"/>
  <c r="M10" i="5" s="1"/>
  <c r="O9" i="5"/>
  <c r="O10" i="5" s="1"/>
  <c r="AF9" i="5"/>
  <c r="AD9" i="5"/>
  <c r="AC9" i="5"/>
  <c r="AF12" i="5"/>
  <c r="AF8" i="5"/>
  <c r="AF10" i="5" s="1"/>
  <c r="AD10" i="5"/>
  <c r="AD6" i="5"/>
  <c r="V13" i="5"/>
  <c r="H10" i="5"/>
  <c r="AA7" i="5"/>
  <c r="Z7" i="5"/>
  <c r="Z6" i="5"/>
  <c r="X7" i="5"/>
  <c r="W7" i="5"/>
  <c r="W9" i="5" s="1"/>
  <c r="W10" i="5" s="1"/>
  <c r="V7" i="5"/>
  <c r="R7" i="5"/>
  <c r="S7" i="5" s="1"/>
  <c r="Q7" i="5"/>
  <c r="Q9" i="5" s="1"/>
  <c r="Q10" i="5" s="1"/>
  <c r="Q6" i="5"/>
  <c r="R6" i="5" s="1"/>
  <c r="S6" i="5" s="1"/>
  <c r="T6" i="5" s="1"/>
  <c r="H4" i="5"/>
  <c r="H6" i="5" s="1"/>
  <c r="V2" i="1"/>
  <c r="V6" i="5"/>
  <c r="K49" i="5" l="1"/>
  <c r="M49" i="5" s="1"/>
  <c r="Q37" i="5"/>
  <c r="Q38" i="5"/>
  <c r="K50" i="5"/>
  <c r="M50" i="5" s="1"/>
  <c r="Q30" i="5"/>
  <c r="K42" i="5"/>
  <c r="M42" i="5" s="1"/>
  <c r="K43" i="5"/>
  <c r="M43" i="5" s="1"/>
  <c r="Q31" i="5"/>
  <c r="K44" i="5"/>
  <c r="M44" i="5" s="1"/>
  <c r="Q32" i="5"/>
  <c r="L23" i="5"/>
  <c r="L24" i="5"/>
  <c r="L17" i="5"/>
  <c r="O17" i="5" s="1"/>
  <c r="J29" i="5" s="1"/>
  <c r="N29" i="5" s="1"/>
  <c r="O29" i="5" s="1"/>
  <c r="I34" i="5"/>
  <c r="I33" i="5"/>
  <c r="S9" i="5"/>
  <c r="S10" i="5" s="1"/>
  <c r="T7" i="5"/>
  <c r="T9" i="5" s="1"/>
  <c r="T10" i="5" s="1"/>
  <c r="X9" i="5"/>
  <c r="X10" i="5" s="1"/>
  <c r="R9" i="5"/>
  <c r="R10" i="5" s="1"/>
  <c r="V9" i="5"/>
  <c r="V10" i="5" s="1"/>
  <c r="Z9" i="5"/>
  <c r="Z10" i="5" s="1"/>
  <c r="AA9" i="5"/>
  <c r="AA10" i="5" s="1"/>
  <c r="K41" i="5" l="1"/>
  <c r="M41" i="5" s="1"/>
  <c r="Q29" i="5"/>
  <c r="N23" i="5"/>
  <c r="O23" i="5"/>
  <c r="J35" i="5" s="1"/>
  <c r="N35" i="5" s="1"/>
  <c r="O35" i="5" s="1"/>
  <c r="O24" i="5"/>
  <c r="J36" i="5" s="1"/>
  <c r="N36" i="5" s="1"/>
  <c r="O36" i="5" s="1"/>
  <c r="N24" i="5"/>
  <c r="N21" i="5"/>
  <c r="O21" i="5"/>
  <c r="J33" i="5" s="1"/>
  <c r="N33" i="5" s="1"/>
  <c r="O33" i="5" s="1"/>
  <c r="O22" i="5"/>
  <c r="J34" i="5" s="1"/>
  <c r="N34" i="5" s="1"/>
  <c r="O34" i="5" s="1"/>
  <c r="N22" i="5"/>
  <c r="E16" i="2"/>
  <c r="K45" i="5" l="1"/>
  <c r="M45" i="5" s="1"/>
  <c r="Q33" i="5"/>
  <c r="K47" i="5"/>
  <c r="M47" i="5" s="1"/>
  <c r="Q35" i="5"/>
  <c r="Q34" i="5"/>
  <c r="K46" i="5"/>
  <c r="M46" i="5" s="1"/>
  <c r="Q36" i="5"/>
  <c r="K48" i="5"/>
  <c r="M48" i="5" s="1"/>
  <c r="Q2" i="1" l="1"/>
  <c r="R2" i="1" l="1"/>
  <c r="S2" i="1" s="1"/>
  <c r="Q3" i="1" l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L4" i="2"/>
  <c r="N4" i="2" s="1"/>
  <c r="L5" i="2"/>
  <c r="N5" i="2" s="1"/>
  <c r="L6" i="2"/>
  <c r="N6" i="2" s="1"/>
  <c r="L7" i="2"/>
  <c r="M7" i="2" s="1"/>
  <c r="L8" i="2"/>
  <c r="N8" i="2" s="1"/>
  <c r="L9" i="2"/>
  <c r="N9" i="2" s="1"/>
  <c r="L10" i="2"/>
  <c r="M10" i="2" s="1"/>
  <c r="L11" i="2"/>
  <c r="M11" i="2" s="1"/>
  <c r="L12" i="2"/>
  <c r="N12" i="2" s="1"/>
  <c r="L13" i="2"/>
  <c r="N13" i="2" s="1"/>
  <c r="L14" i="2"/>
  <c r="N14" i="2" s="1"/>
  <c r="L15" i="2"/>
  <c r="M15" i="2" s="1"/>
  <c r="L16" i="2"/>
  <c r="N16" i="2" s="1"/>
  <c r="L17" i="2"/>
  <c r="N17" i="2" s="1"/>
  <c r="L18" i="2"/>
  <c r="M18" i="2" s="1"/>
  <c r="L19" i="2"/>
  <c r="M19" i="2" s="1"/>
  <c r="L20" i="2"/>
  <c r="N20" i="2" s="1"/>
  <c r="L21" i="2"/>
  <c r="N21" i="2" s="1"/>
  <c r="L22" i="2"/>
  <c r="N22" i="2" s="1"/>
  <c r="L23" i="2"/>
  <c r="M23" i="2" s="1"/>
  <c r="L24" i="2"/>
  <c r="N24" i="2" s="1"/>
  <c r="L3" i="2"/>
  <c r="M3" i="2" s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2" i="1"/>
  <c r="R3" i="1"/>
  <c r="S3" i="1" s="1"/>
  <c r="R4" i="1"/>
  <c r="S4" i="1" s="1"/>
  <c r="R5" i="1"/>
  <c r="S5" i="1" s="1"/>
  <c r="R6" i="1"/>
  <c r="S6" i="1" s="1"/>
  <c r="R7" i="1"/>
  <c r="S7" i="1" s="1"/>
  <c r="R8" i="1"/>
  <c r="S8" i="1" s="1"/>
  <c r="R9" i="1"/>
  <c r="S9" i="1" s="1"/>
  <c r="R10" i="1"/>
  <c r="S10" i="1" s="1"/>
  <c r="R11" i="1"/>
  <c r="S11" i="1" s="1"/>
  <c r="R12" i="1"/>
  <c r="S12" i="1" s="1"/>
  <c r="R13" i="1"/>
  <c r="S13" i="1" s="1"/>
  <c r="R14" i="1"/>
  <c r="S14" i="1" s="1"/>
  <c r="R15" i="1"/>
  <c r="S15" i="1" s="1"/>
  <c r="R16" i="1"/>
  <c r="S16" i="1" s="1"/>
  <c r="R17" i="1"/>
  <c r="S17" i="1" s="1"/>
  <c r="R18" i="1"/>
  <c r="S18" i="1" s="1"/>
  <c r="R19" i="1"/>
  <c r="S19" i="1" s="1"/>
  <c r="R20" i="1"/>
  <c r="S20" i="1" s="1"/>
  <c r="R21" i="1"/>
  <c r="S21" i="1" s="1"/>
  <c r="R22" i="1"/>
  <c r="S22" i="1" s="1"/>
  <c r="R23" i="1"/>
  <c r="S23" i="1" s="1"/>
  <c r="R24" i="1"/>
  <c r="S24" i="1" s="1"/>
  <c r="R25" i="1"/>
  <c r="S25" i="1" s="1"/>
  <c r="R26" i="1"/>
  <c r="S26" i="1" s="1"/>
  <c r="R27" i="1"/>
  <c r="S27" i="1" s="1"/>
  <c r="R28" i="1"/>
  <c r="S28" i="1" s="1"/>
  <c r="R29" i="1"/>
  <c r="S29" i="1" s="1"/>
  <c r="R30" i="1"/>
  <c r="S30" i="1" s="1"/>
  <c r="R31" i="1"/>
  <c r="S31" i="1" s="1"/>
  <c r="B36" i="1" l="1"/>
  <c r="M22" i="2"/>
  <c r="M14" i="2"/>
  <c r="M6" i="2"/>
  <c r="N19" i="2"/>
  <c r="N11" i="2"/>
  <c r="N3" i="2"/>
  <c r="M21" i="2"/>
  <c r="M13" i="2"/>
  <c r="M5" i="2"/>
  <c r="N18" i="2"/>
  <c r="N10" i="2"/>
  <c r="N23" i="2"/>
  <c r="N15" i="2"/>
  <c r="N7" i="2"/>
  <c r="M17" i="2"/>
  <c r="M9" i="2"/>
  <c r="B37" i="1"/>
  <c r="M24" i="2"/>
  <c r="M20" i="2"/>
  <c r="M16" i="2"/>
  <c r="M12" i="2"/>
  <c r="M8" i="2"/>
  <c r="M4" i="2"/>
  <c r="B34" i="1"/>
  <c r="B35" i="1"/>
  <c r="AC10" i="5" l="1"/>
</calcChain>
</file>

<file path=xl/sharedStrings.xml><?xml version="1.0" encoding="utf-8"?>
<sst xmlns="http://schemas.openxmlformats.org/spreadsheetml/2006/main" count="279" uniqueCount="150">
  <si>
    <t>Company Name</t>
  </si>
  <si>
    <t>Main product/service group</t>
  </si>
  <si>
    <t>NIC code</t>
  </si>
  <si>
    <t>Total capital</t>
  </si>
  <si>
    <t>Reserves and funds</t>
  </si>
  <si>
    <t>Long term borrowings excl current portion</t>
  </si>
  <si>
    <t>Short-term borrowings</t>
  </si>
  <si>
    <t>Minority interest reserves</t>
  </si>
  <si>
    <t>Total assets</t>
  </si>
  <si>
    <t>Gross fixed assets</t>
  </si>
  <si>
    <t>Retained profits/losses during the year</t>
  </si>
  <si>
    <t>Current assets (incl. short term investments, loans &amp; advances)</t>
  </si>
  <si>
    <t>Operating  profit of non-financial companies</t>
  </si>
  <si>
    <t>Market Capitalisation</t>
  </si>
  <si>
    <t>Adani Ports &amp; Special Economic Zone Ltd.</t>
  </si>
  <si>
    <t>Ports</t>
  </si>
  <si>
    <t>Asian Paints Ltd.</t>
  </si>
  <si>
    <t>Paints &amp; varnishes</t>
  </si>
  <si>
    <t>Axis Bank Ltd.</t>
  </si>
  <si>
    <t>Banking services</t>
  </si>
  <si>
    <t>Bajaj Auto Ltd.</t>
  </si>
  <si>
    <t>Motorcycles</t>
  </si>
  <si>
    <t>Bharti Airtel Ltd.</t>
  </si>
  <si>
    <t>Cellular mobile phone service</t>
  </si>
  <si>
    <t>Coal India Ltd.</t>
  </si>
  <si>
    <t>Securities investment services</t>
  </si>
  <si>
    <t>Dr. Reddy'S Laboratories Ltd.</t>
  </si>
  <si>
    <t>Drug formulations</t>
  </si>
  <si>
    <t>H D F C Bank Ltd.</t>
  </si>
  <si>
    <t>Hero Motocorp Ltd.</t>
  </si>
  <si>
    <t>Hindustan Unilever Ltd.</t>
  </si>
  <si>
    <t>Cosmetics, toilet preparations, soap &amp; washing preparations</t>
  </si>
  <si>
    <t>Housing Development Finance Corpn. Ltd.</t>
  </si>
  <si>
    <t>Housing finance services</t>
  </si>
  <si>
    <t>I C I C I Bank Ltd.</t>
  </si>
  <si>
    <t>I T C Ltd.</t>
  </si>
  <si>
    <t>Cigarettes</t>
  </si>
  <si>
    <t>Indusind Bank Ltd.</t>
  </si>
  <si>
    <t>Infosys Ltd.</t>
  </si>
  <si>
    <t>Software services</t>
  </si>
  <si>
    <t>Kotak Mahindra Bank Ltd.</t>
  </si>
  <si>
    <t>Larsen &amp; Toubro Ltd.</t>
  </si>
  <si>
    <t>Construction of other industrial plants</t>
  </si>
  <si>
    <t>Mahindra &amp; Mahindra Ltd.</t>
  </si>
  <si>
    <t>Automobiles</t>
  </si>
  <si>
    <t>Maruti Suzuki India Ltd.</t>
  </si>
  <si>
    <t>Passenger cars</t>
  </si>
  <si>
    <t>N T P C Ltd.</t>
  </si>
  <si>
    <t>Thermal electricity</t>
  </si>
  <si>
    <t>Oil &amp; Natural Gas Corpn. Ltd.</t>
  </si>
  <si>
    <t>Crude oil</t>
  </si>
  <si>
    <t>Power Grid Corpn. Of India Ltd.</t>
  </si>
  <si>
    <t>Power transmission services</t>
  </si>
  <si>
    <t>Reliance Industries Ltd.</t>
  </si>
  <si>
    <t>Petroleum products</t>
  </si>
  <si>
    <t>State Bank Of India</t>
  </si>
  <si>
    <t>Sun Pharmaceutical Inds. Ltd.</t>
  </si>
  <si>
    <t>Tata Consultancy Services Ltd.</t>
  </si>
  <si>
    <t>Tata Motors Ltd.</t>
  </si>
  <si>
    <t>Heavy commercial vehicles</t>
  </si>
  <si>
    <t>Tata Steel Ltd.</t>
  </si>
  <si>
    <t>Finished Steel (Non-Alloy Steel)</t>
  </si>
  <si>
    <t>Wipro Ltd.</t>
  </si>
  <si>
    <t>Yes Bank Ltd.</t>
  </si>
  <si>
    <t>Debt to Equity Ratio(Book Value)</t>
  </si>
  <si>
    <t>Debt to Equity Ratio (Market Value)</t>
  </si>
  <si>
    <t>Correlation (Debt to Equity and Equity Beta)</t>
  </si>
  <si>
    <t>Slope</t>
  </si>
  <si>
    <t xml:space="preserve">Bank </t>
  </si>
  <si>
    <t>Assets Beta</t>
  </si>
  <si>
    <t>Fixed Assets</t>
  </si>
  <si>
    <t>Correlation between Fixed Assets and Debt to equity)</t>
  </si>
  <si>
    <t>ROA</t>
  </si>
  <si>
    <t>≤ to</t>
  </si>
  <si>
    <t>Rating is</t>
  </si>
  <si>
    <t>Spread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</si>
  <si>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</si>
  <si>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</si>
  <si>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</si>
  <si>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</si>
  <si>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</si>
  <si>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</si>
  <si>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</si>
  <si>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</si>
  <si>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</si>
  <si>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</si>
  <si>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</si>
  <si>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</si>
  <si>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</si>
  <si>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</si>
  <si>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</si>
  <si>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Greater Than</t>
  </si>
  <si>
    <t>Interest Coverage Ratio</t>
  </si>
  <si>
    <t xml:space="preserve">Interest </t>
  </si>
  <si>
    <t>PBDIT</t>
  </si>
  <si>
    <t>Implied Ratings</t>
  </si>
  <si>
    <t>AAA</t>
  </si>
  <si>
    <t>WACC</t>
  </si>
  <si>
    <t>Correlation between (ROAand Debt to equity)</t>
  </si>
  <si>
    <t>Tax Rate</t>
  </si>
  <si>
    <t>Implied Growth rate</t>
  </si>
  <si>
    <t>default rate(%)</t>
  </si>
  <si>
    <t>EquityBeta</t>
  </si>
  <si>
    <t>D/D+E</t>
  </si>
  <si>
    <t>D/E</t>
  </si>
  <si>
    <t>Debt value</t>
  </si>
  <si>
    <t>Interest coverage ratio</t>
  </si>
  <si>
    <t>Likely rating</t>
  </si>
  <si>
    <t>Pre-tax cost of debt</t>
  </si>
  <si>
    <t>Interest expense</t>
  </si>
  <si>
    <t>Firm value</t>
  </si>
  <si>
    <t>Iteration 1</t>
  </si>
  <si>
    <t>Iteration 2</t>
  </si>
  <si>
    <t>Risk-free rate</t>
  </si>
  <si>
    <t>Risk Premium</t>
  </si>
  <si>
    <t>debt portion</t>
  </si>
  <si>
    <t>Rating</t>
  </si>
  <si>
    <t>Interest rate</t>
  </si>
  <si>
    <t>Iteration 3</t>
  </si>
  <si>
    <t>Iteration 4</t>
  </si>
  <si>
    <t>AA+</t>
  </si>
  <si>
    <t>Country risk</t>
  </si>
  <si>
    <t>Debt/Equity</t>
  </si>
  <si>
    <t>EBIT</t>
  </si>
  <si>
    <t>Interest payment</t>
  </si>
  <si>
    <t>Expected rating</t>
  </si>
  <si>
    <t>Default spread</t>
  </si>
  <si>
    <t>Expected Interest rate</t>
  </si>
  <si>
    <t xml:space="preserve">Debt value </t>
  </si>
  <si>
    <t>Interest amount</t>
  </si>
  <si>
    <t>Infinte</t>
  </si>
  <si>
    <t>Unlevered beta</t>
  </si>
  <si>
    <t>Equity beta</t>
  </si>
  <si>
    <t>Debt to equity</t>
  </si>
  <si>
    <t>After tax cost of debt</t>
  </si>
  <si>
    <t>Cost of equity</t>
  </si>
  <si>
    <t>Growth rate</t>
  </si>
  <si>
    <t>EBIDT</t>
  </si>
  <si>
    <t>Tax rate</t>
  </si>
  <si>
    <t>Implired Growth</t>
  </si>
  <si>
    <t>FCFF</t>
  </si>
  <si>
    <t>Debt (%)</t>
  </si>
  <si>
    <t>Year</t>
  </si>
  <si>
    <t>Operating profit</t>
  </si>
  <si>
    <t>% Change in Operating profit</t>
  </si>
  <si>
    <t>Std Dev</t>
  </si>
  <si>
    <t xml:space="preserve">Average </t>
  </si>
  <si>
    <t>Current Condition</t>
  </si>
  <si>
    <t>Debt ratio</t>
  </si>
  <si>
    <t>Country risk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</si>
</sst>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28"/>
      <color rgb="FF000000"/>
      <name val="Calibri"/>
      <family val="2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2"/>
      <color theme="1"/>
      <name val="Arial"/>
      <family val="2"/>
    </font>
    <font>
      <b/>
      <sz val="9"/>
      <color rgb="FF3030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0" borderId="0" xfId="0" applyNumberFormat="1" applyFont="1"/>
    <xf numFmtId="10" fontId="2" fillId="0" borderId="0" xfId="1" applyNumberFormat="1" applyFont="1"/>
    <xf numFmtId="9" fontId="2" fillId="0" borderId="0" xfId="0" applyNumberFormat="1" applyFont="1"/>
    <xf numFmtId="10" fontId="2" fillId="0" borderId="0" xfId="0" applyNumberFormat="1" applyFont="1"/>
    <xf numFmtId="0" fontId="6" fillId="0" borderId="1" xfId="0" applyFont="1" applyBorder="1" applyAlignment="1">
      <alignment horizontal="center"/>
    </xf>
    <xf numFmtId="10" fontId="6" fillId="0" borderId="2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164" fontId="2" fillId="0" borderId="0" xfId="0" applyNumberFormat="1" applyFont="1"/>
    <xf numFmtId="1" fontId="2" fillId="0" borderId="0" xfId="0" applyNumberFormat="1" applyFont="1"/>
    <xf numFmtId="9" fontId="2" fillId="0" borderId="0" xfId="1" applyFont="1"/>
    <xf numFmtId="0" fontId="3" fillId="0" borderId="0" xfId="0" applyFont="1" applyAlignment="1">
      <alignment horizontal="center"/>
    </xf>
    <xf numFmtId="0" fontId="2" fillId="2" borderId="0" xfId="0" applyFont="1" applyFill="1"/>
    <xf numFmtId="10" fontId="2" fillId="2" borderId="0" xfId="0" applyNumberFormat="1" applyFont="1" applyFill="1"/>
    <xf numFmtId="9" fontId="2" fillId="2" borderId="0" xfId="0" applyNumberFormat="1" applyFont="1" applyFill="1"/>
    <xf numFmtId="10" fontId="2" fillId="2" borderId="0" xfId="1" applyNumberFormat="1" applyFont="1" applyFill="1"/>
    <xf numFmtId="164" fontId="2" fillId="2" borderId="0" xfId="0" applyNumberFormat="1" applyFont="1" applyFill="1"/>
    <xf numFmtId="1" fontId="2" fillId="2" borderId="0" xfId="0" applyNumberFormat="1" applyFont="1" applyFill="1"/>
    <xf numFmtId="0" fontId="2" fillId="0" borderId="0" xfId="0" applyFont="1" applyFill="1"/>
    <xf numFmtId="10" fontId="2" fillId="0" borderId="0" xfId="0" applyNumberFormat="1" applyFont="1" applyFill="1"/>
    <xf numFmtId="164" fontId="2" fillId="0" borderId="0" xfId="0" applyNumberFormat="1" applyFont="1" applyFill="1"/>
    <xf numFmtId="9" fontId="2" fillId="0" borderId="0" xfId="0" applyNumberFormat="1" applyFont="1" applyFill="1"/>
    <xf numFmtId="10" fontId="2" fillId="0" borderId="0" xfId="1" applyNumberFormat="1" applyFont="1" applyFill="1"/>
    <xf numFmtId="0" fontId="6" fillId="0" borderId="2" xfId="0" applyFont="1" applyBorder="1" applyAlignment="1">
      <alignment horizontal="center"/>
    </xf>
    <xf numFmtId="165" fontId="2" fillId="0" borderId="0" xfId="0" applyNumberFormat="1" applyFont="1"/>
    <xf numFmtId="165" fontId="2" fillId="2" borderId="0" xfId="0" applyNumberFormat="1" applyFont="1" applyFill="1"/>
    <xf numFmtId="164" fontId="2" fillId="0" borderId="0" xfId="1" applyNumberFormat="1" applyFont="1"/>
    <xf numFmtId="164" fontId="2" fillId="2" borderId="0" xfId="1" applyNumberFormat="1" applyFont="1" applyFill="1"/>
    <xf numFmtId="1" fontId="2" fillId="0" borderId="0" xfId="0" applyNumberFormat="1" applyFont="1" applyFill="1"/>
    <xf numFmtId="165" fontId="2" fillId="0" borderId="0" xfId="0" applyNumberFormat="1" applyFont="1" applyFill="1"/>
    <xf numFmtId="0" fontId="6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1" fontId="7" fillId="0" borderId="0" xfId="0" applyNumberFormat="1" applyFont="1"/>
    <xf numFmtId="10" fontId="6" fillId="0" borderId="2" xfId="1" applyNumberFormat="1" applyFont="1" applyBorder="1" applyAlignment="1"/>
    <xf numFmtId="10" fontId="0" fillId="0" borderId="0" xfId="1" applyNumberFormat="1" applyFont="1" applyAlignment="1"/>
    <xf numFmtId="10" fontId="6" fillId="0" borderId="2" xfId="0" applyNumberFormat="1" applyFont="1" applyBorder="1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" fontId="2" fillId="3" borderId="0" xfId="0" applyNumberFormat="1" applyFont="1" applyFill="1"/>
    <xf numFmtId="1" fontId="2" fillId="0" borderId="1" xfId="0" applyNumberFormat="1" applyFont="1" applyFill="1" applyBorder="1"/>
    <xf numFmtId="0" fontId="2" fillId="0" borderId="1" xfId="0" applyFont="1" applyBorder="1"/>
    <xf numFmtId="0" fontId="2" fillId="0" borderId="1" xfId="0" applyFont="1" applyFill="1" applyBorder="1"/>
    <xf numFmtId="0" fontId="7" fillId="0" borderId="0" xfId="0" applyFont="1"/>
    <xf numFmtId="0" fontId="2" fillId="3" borderId="0" xfId="0" applyFont="1" applyFill="1"/>
    <xf numFmtId="165" fontId="2" fillId="3" borderId="0" xfId="0" applyNumberFormat="1" applyFont="1" applyFill="1"/>
    <xf numFmtId="164" fontId="2" fillId="3" borderId="0" xfId="0" applyNumberFormat="1" applyFont="1" applyFill="1"/>
    <xf numFmtId="0" fontId="6" fillId="3" borderId="1" xfId="0" applyFont="1" applyFill="1" applyBorder="1" applyAlignment="1">
      <alignment horizontal="center"/>
    </xf>
    <xf numFmtId="10" fontId="6" fillId="3" borderId="2" xfId="0" applyNumberFormat="1" applyFont="1" applyFill="1" applyBorder="1" applyAlignment="1"/>
    <xf numFmtId="10" fontId="2" fillId="3" borderId="0" xfId="0" applyNumberFormat="1" applyFont="1" applyFill="1"/>
    <xf numFmtId="164" fontId="2" fillId="3" borderId="0" xfId="1" applyNumberFormat="1" applyFont="1" applyFill="1"/>
    <xf numFmtId="9" fontId="2" fillId="3" borderId="0" xfId="0" applyNumberFormat="1" applyFont="1" applyFill="1"/>
    <xf numFmtId="0" fontId="6" fillId="2" borderId="1" xfId="0" applyFont="1" applyFill="1" applyBorder="1" applyAlignment="1">
      <alignment horizontal="center"/>
    </xf>
    <xf numFmtId="10" fontId="6" fillId="2" borderId="2" xfId="0" applyNumberFormat="1" applyFont="1" applyFill="1" applyBorder="1" applyAlignment="1"/>
    <xf numFmtId="0" fontId="6" fillId="0" borderId="1" xfId="0" applyFont="1" applyFill="1" applyBorder="1" applyAlignment="1">
      <alignment horizontal="center"/>
    </xf>
    <xf numFmtId="10" fontId="6" fillId="0" borderId="2" xfId="0" applyNumberFormat="1" applyFont="1" applyFill="1" applyBorder="1" applyAlignment="1"/>
    <xf numFmtId="2" fontId="2" fillId="0" borderId="0" xfId="0" applyNumberFormat="1" applyFont="1" applyFill="1"/>
    <xf numFmtId="9" fontId="2" fillId="0" borderId="1" xfId="1" applyFont="1" applyBorder="1"/>
    <xf numFmtId="2" fontId="2" fillId="0" borderId="1" xfId="0" applyNumberFormat="1" applyFont="1" applyBorder="1"/>
    <xf numFmtId="1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8" fillId="0" borderId="0" xfId="0" applyFont="1" applyFill="1"/>
    <xf numFmtId="165" fontId="8" fillId="0" borderId="1" xfId="0" applyNumberFormat="1" applyFont="1" applyBorder="1"/>
    <xf numFmtId="9" fontId="8" fillId="0" borderId="1" xfId="1" applyFont="1" applyBorder="1"/>
    <xf numFmtId="0" fontId="8" fillId="0" borderId="0" xfId="0" applyFont="1"/>
    <xf numFmtId="10" fontId="8" fillId="0" borderId="1" xfId="1" applyNumberFormat="1" applyFont="1" applyBorder="1"/>
    <xf numFmtId="0" fontId="8" fillId="0" borderId="1" xfId="0" applyFont="1" applyBorder="1"/>
    <xf numFmtId="2" fontId="8" fillId="0" borderId="1" xfId="0" applyNumberFormat="1" applyFont="1" applyBorder="1"/>
    <xf numFmtId="2" fontId="8" fillId="0" borderId="1" xfId="1" applyNumberFormat="1" applyFont="1" applyBorder="1"/>
    <xf numFmtId="1" fontId="8" fillId="0" borderId="1" xfId="0" applyNumberFormat="1" applyFont="1" applyBorder="1"/>
    <xf numFmtId="1" fontId="8" fillId="0" borderId="1" xfId="1" applyNumberFormat="1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0" fontId="9" fillId="0" borderId="2" xfId="0" applyNumberFormat="1" applyFont="1" applyBorder="1" applyAlignment="1">
      <alignment horizontal="center"/>
    </xf>
    <xf numFmtId="0" fontId="8" fillId="0" borderId="1" xfId="0" applyFont="1" applyFill="1" applyBorder="1"/>
    <xf numFmtId="1" fontId="8" fillId="0" borderId="1" xfId="0" applyNumberFormat="1" applyFont="1" applyFill="1" applyBorder="1"/>
    <xf numFmtId="9" fontId="8" fillId="0" borderId="1" xfId="0" applyNumberFormat="1" applyFont="1" applyBorder="1" applyAlignment="1">
      <alignment horizontal="center"/>
    </xf>
    <xf numFmtId="10" fontId="8" fillId="0" borderId="1" xfId="1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165" fontId="8" fillId="0" borderId="1" xfId="0" applyNumberFormat="1" applyFont="1" applyFill="1" applyBorder="1"/>
    <xf numFmtId="10" fontId="8" fillId="0" borderId="1" xfId="0" applyNumberFormat="1" applyFont="1" applyBorder="1"/>
    <xf numFmtId="10" fontId="8" fillId="2" borderId="1" xfId="1" applyNumberFormat="1" applyFont="1" applyFill="1" applyBorder="1"/>
    <xf numFmtId="2" fontId="8" fillId="2" borderId="1" xfId="0" applyNumberFormat="1" applyFont="1" applyFill="1" applyBorder="1"/>
    <xf numFmtId="2" fontId="8" fillId="2" borderId="1" xfId="1" applyNumberFormat="1" applyFont="1" applyFill="1" applyBorder="1"/>
    <xf numFmtId="1" fontId="8" fillId="2" borderId="1" xfId="1" applyNumberFormat="1" applyFont="1" applyFill="1" applyBorder="1"/>
    <xf numFmtId="1" fontId="8" fillId="2" borderId="1" xfId="0" applyNumberFormat="1" applyFont="1" applyFill="1" applyBorder="1"/>
    <xf numFmtId="0" fontId="9" fillId="2" borderId="1" xfId="0" applyFont="1" applyFill="1" applyBorder="1" applyAlignment="1">
      <alignment horizontal="center"/>
    </xf>
    <xf numFmtId="10" fontId="9" fillId="2" borderId="1" xfId="0" applyNumberFormat="1" applyFont="1" applyFill="1" applyBorder="1" applyAlignment="1">
      <alignment horizontal="center"/>
    </xf>
    <xf numFmtId="10" fontId="8" fillId="2" borderId="1" xfId="0" applyNumberFormat="1" applyFont="1" applyFill="1" applyBorder="1"/>
    <xf numFmtId="9" fontId="8" fillId="2" borderId="1" xfId="1" applyFont="1" applyFill="1" applyBorder="1"/>
    <xf numFmtId="0" fontId="0" fillId="3" borderId="0" xfId="0" applyFill="1" applyAlignment="1">
      <alignment horizontal="center"/>
    </xf>
    <xf numFmtId="10" fontId="0" fillId="3" borderId="0" xfId="1" applyNumberFormat="1" applyFont="1" applyFill="1" applyAlignment="1"/>
    <xf numFmtId="2" fontId="2" fillId="3" borderId="0" xfId="0" applyNumberFormat="1" applyFont="1" applyFill="1"/>
    <xf numFmtId="0" fontId="2" fillId="3" borderId="1" xfId="0" applyFont="1" applyFill="1" applyBorder="1"/>
    <xf numFmtId="0" fontId="10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0" fontId="8" fillId="0" borderId="1" xfId="0" applyNumberFormat="1" applyFont="1" applyBorder="1" applyAlignment="1">
      <alignment horizontal="left"/>
    </xf>
    <xf numFmtId="10" fontId="8" fillId="0" borderId="1" xfId="1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10" fontId="9" fillId="0" borderId="1" xfId="0" applyNumberFormat="1" applyFont="1" applyBorder="1" applyAlignment="1">
      <alignment horizontal="left"/>
    </xf>
    <xf numFmtId="2" fontId="2" fillId="0" borderId="3" xfId="0" applyNumberFormat="1" applyFont="1" applyBorder="1"/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2" fontId="6" fillId="3" borderId="1" xfId="0" applyNumberFormat="1" applyFont="1" applyFill="1" applyBorder="1"/>
    <xf numFmtId="1" fontId="6" fillId="3" borderId="1" xfId="0" applyNumberFormat="1" applyFont="1" applyFill="1" applyBorder="1"/>
    <xf numFmtId="0" fontId="6" fillId="3" borderId="1" xfId="0" applyFont="1" applyFill="1" applyBorder="1"/>
    <xf numFmtId="0" fontId="2" fillId="0" borderId="4" xfId="0" applyFont="1" applyFill="1" applyBorder="1"/>
    <xf numFmtId="0" fontId="2" fillId="3" borderId="4" xfId="0" applyFont="1" applyFill="1" applyBorder="1"/>
    <xf numFmtId="0" fontId="2" fillId="0" borderId="4" xfId="0" applyFont="1" applyBorder="1"/>
    <xf numFmtId="0" fontId="2" fillId="0" borderId="2" xfId="0" applyFont="1" applyBorder="1"/>
    <xf numFmtId="10" fontId="9" fillId="0" borderId="0" xfId="0" applyNumberFormat="1" applyFont="1" applyBorder="1" applyAlignment="1">
      <alignment horizontal="center"/>
    </xf>
    <xf numFmtId="9" fontId="8" fillId="2" borderId="1" xfId="0" applyNumberFormat="1" applyFont="1" applyFill="1" applyBorder="1" applyAlignment="1">
      <alignment horizontal="center"/>
    </xf>
    <xf numFmtId="166" fontId="8" fillId="0" borderId="1" xfId="1" applyNumberFormat="1" applyFont="1" applyFill="1" applyBorder="1"/>
    <xf numFmtId="10" fontId="8" fillId="0" borderId="0" xfId="0" applyNumberFormat="1" applyFont="1"/>
    <xf numFmtId="9" fontId="11" fillId="2" borderId="1" xfId="0" applyNumberFormat="1" applyFont="1" applyFill="1" applyBorder="1" applyAlignment="1">
      <alignment horizontal="center"/>
    </xf>
    <xf numFmtId="10" fontId="11" fillId="2" borderId="1" xfId="1" applyNumberFormat="1" applyFont="1" applyFill="1" applyBorder="1"/>
    <xf numFmtId="2" fontId="11" fillId="2" borderId="1" xfId="0" applyNumberFormat="1" applyFont="1" applyFill="1" applyBorder="1"/>
    <xf numFmtId="1" fontId="11" fillId="2" borderId="1" xfId="1" applyNumberFormat="1" applyFont="1" applyFill="1" applyBorder="1"/>
    <xf numFmtId="1" fontId="11" fillId="2" borderId="1" xfId="0" applyNumberFormat="1" applyFont="1" applyFill="1" applyBorder="1"/>
    <xf numFmtId="2" fontId="11" fillId="2" borderId="1" xfId="1" applyNumberFormat="1" applyFont="1" applyFill="1" applyBorder="1"/>
    <xf numFmtId="0" fontId="12" fillId="2" borderId="1" xfId="0" applyFont="1" applyFill="1" applyBorder="1" applyAlignment="1">
      <alignment horizontal="center"/>
    </xf>
    <xf numFmtId="10" fontId="12" fillId="2" borderId="1" xfId="0" applyNumberFormat="1" applyFont="1" applyFill="1" applyBorder="1" applyAlignment="1">
      <alignment horizontal="center"/>
    </xf>
    <xf numFmtId="10" fontId="11" fillId="2" borderId="1" xfId="0" applyNumberFormat="1" applyFont="1" applyFill="1" applyBorder="1"/>
    <xf numFmtId="0" fontId="8" fillId="2" borderId="1" xfId="0" applyFont="1" applyFill="1" applyBorder="1"/>
    <xf numFmtId="0" fontId="12" fillId="0" borderId="1" xfId="0" applyFont="1" applyBorder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/>
    <xf numFmtId="2" fontId="8" fillId="2" borderId="0" xfId="0" applyNumberFormat="1" applyFont="1" applyFill="1"/>
    <xf numFmtId="10" fontId="8" fillId="2" borderId="0" xfId="0" applyNumberFormat="1" applyFont="1" applyFill="1"/>
    <xf numFmtId="0" fontId="8" fillId="0" borderId="0" xfId="0" applyFont="1" applyFill="1" applyAlignment="1"/>
    <xf numFmtId="1" fontId="8" fillId="0" borderId="0" xfId="0" applyNumberFormat="1" applyFont="1"/>
    <xf numFmtId="1" fontId="8" fillId="2" borderId="0" xfId="0" applyNumberFormat="1" applyFont="1" applyFill="1"/>
    <xf numFmtId="166" fontId="8" fillId="2" borderId="0" xfId="0" applyNumberFormat="1" applyFont="1" applyFill="1"/>
    <xf numFmtId="166" fontId="8" fillId="2" borderId="1" xfId="0" applyNumberFormat="1" applyFont="1" applyFill="1" applyBorder="1"/>
    <xf numFmtId="9" fontId="8" fillId="2" borderId="1" xfId="0" applyNumberFormat="1" applyFont="1" applyFill="1" applyBorder="1" applyAlignment="1"/>
    <xf numFmtId="164" fontId="8" fillId="0" borderId="0" xfId="0" applyNumberFormat="1" applyFont="1"/>
    <xf numFmtId="0" fontId="8" fillId="0" borderId="0" xfId="0" applyFont="1" applyBorder="1" applyAlignment="1">
      <alignment horizontal="left"/>
    </xf>
    <xf numFmtId="2" fontId="8" fillId="0" borderId="0" xfId="0" applyNumberFormat="1" applyFont="1" applyBorder="1" applyAlignment="1">
      <alignment horizontal="left"/>
    </xf>
    <xf numFmtId="10" fontId="8" fillId="0" borderId="0" xfId="1" applyNumberFormat="1" applyFont="1"/>
    <xf numFmtId="0" fontId="8" fillId="0" borderId="0" xfId="0" applyFont="1" applyBorder="1"/>
    <xf numFmtId="9" fontId="8" fillId="0" borderId="0" xfId="1" applyFont="1" applyBorder="1"/>
    <xf numFmtId="2" fontId="8" fillId="0" borderId="0" xfId="0" applyNumberFormat="1" applyFont="1" applyBorder="1"/>
    <xf numFmtId="1" fontId="8" fillId="0" borderId="0" xfId="0" applyNumberFormat="1" applyFont="1" applyBorder="1"/>
    <xf numFmtId="0" fontId="8" fillId="0" borderId="0" xfId="0" applyFont="1" applyBorder="1" applyAlignment="1">
      <alignment horizontal="center"/>
    </xf>
    <xf numFmtId="10" fontId="8" fillId="0" borderId="0" xfId="0" applyNumberFormat="1" applyFont="1" applyBorder="1"/>
    <xf numFmtId="10" fontId="13" fillId="0" borderId="0" xfId="1" applyNumberFormat="1" applyFont="1" applyAlignment="1">
      <alignment horizontal="left" vertical="center" indent="2" readingOrder="1"/>
    </xf>
    <xf numFmtId="9" fontId="8" fillId="0" borderId="1" xfId="1" applyFont="1" applyBorder="1" applyAlignment="1">
      <alignment horizontal="left"/>
    </xf>
    <xf numFmtId="4" fontId="14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14" fillId="0" borderId="0" xfId="0" applyFont="1"/>
    <xf numFmtId="0" fontId="0" fillId="0" borderId="1" xfId="0" applyBorder="1"/>
    <xf numFmtId="0" fontId="14" fillId="0" borderId="1" xfId="0" applyFont="1" applyBorder="1" applyAlignment="1">
      <alignment horizontal="right" vertical="center" wrapText="1"/>
    </xf>
    <xf numFmtId="9" fontId="0" fillId="0" borderId="1" xfId="1" applyFont="1" applyBorder="1"/>
    <xf numFmtId="4" fontId="14" fillId="0" borderId="1" xfId="0" applyNumberFormat="1" applyFont="1" applyBorder="1" applyAlignment="1">
      <alignment horizontal="right" vertical="center" wrapText="1"/>
    </xf>
    <xf numFmtId="9" fontId="0" fillId="0" borderId="0" xfId="0" applyNumberFormat="1"/>
    <xf numFmtId="0" fontId="6" fillId="0" borderId="1" xfId="0" applyFont="1" applyBorder="1" applyAlignment="1"/>
    <xf numFmtId="9" fontId="2" fillId="0" borderId="0" xfId="1" applyFont="1" applyAlignment="1"/>
    <xf numFmtId="9" fontId="2" fillId="0" borderId="0" xfId="0" applyNumberFormat="1" applyFont="1" applyAlignment="1"/>
    <xf numFmtId="0" fontId="2" fillId="0" borderId="0" xfId="0" applyFont="1" applyAlignment="1"/>
    <xf numFmtId="2" fontId="2" fillId="0" borderId="0" xfId="0" applyNumberFormat="1" applyFont="1" applyAlignment="1"/>
    <xf numFmtId="10" fontId="2" fillId="0" borderId="0" xfId="0" applyNumberFormat="1" applyFont="1" applyAlignment="1"/>
    <xf numFmtId="1" fontId="2" fillId="0" borderId="0" xfId="0" applyNumberFormat="1" applyFont="1" applyAlignment="1"/>
    <xf numFmtId="1" fontId="2" fillId="0" borderId="0" xfId="1" applyNumberFormat="1" applyFont="1"/>
    <xf numFmtId="0" fontId="3" fillId="0" borderId="0" xfId="0" applyFont="1" applyAlignment="1">
      <alignment horizontal="center"/>
    </xf>
    <xf numFmtId="165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Cost of debt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'Bond rating calculation'!$K$29:$K$38</c:f>
              <c:numCache>
                <c:formatCode>0.00%</c:formatCode>
                <c:ptCount val="10"/>
                <c:pt idx="0">
                  <c:v>5.6891999999999991E-2</c:v>
                </c:pt>
                <c:pt idx="1">
                  <c:v>5.6891999999999991E-2</c:v>
                </c:pt>
                <c:pt idx="2">
                  <c:v>5.9927999999999988E-2</c:v>
                </c:pt>
                <c:pt idx="3">
                  <c:v>7.2995999999999991E-2</c:v>
                </c:pt>
                <c:pt idx="4">
                  <c:v>0.11472934146148143</c:v>
                </c:pt>
                <c:pt idx="5">
                  <c:v>0.14512347316918514</c:v>
                </c:pt>
                <c:pt idx="6">
                  <c:v>0.18531956097432098</c:v>
                </c:pt>
                <c:pt idx="7">
                  <c:v>0.19031676654941798</c:v>
                </c:pt>
                <c:pt idx="8">
                  <c:v>0.2405646707307407</c:v>
                </c:pt>
                <c:pt idx="9">
                  <c:v>0.24347970731621393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1-4111-8B10-5CEA0C32919F}"/>
            </c:ext>
          </c:extLst>
        </c:ser>
        <c:ser>
          <c:idx val="2"/>
          <c:order val="2"/>
          <c:tx>
            <c:v>Costof equity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'Bond rating calculation'!$N$29:$N$38</c:f>
              <c:numCache>
                <c:formatCode>0.00%</c:formatCode>
                <c:ptCount val="10"/>
                <c:pt idx="0">
                  <c:v>0.14875699999999997</c:v>
                </c:pt>
                <c:pt idx="1">
                  <c:v>0.15368917999999998</c:v>
                </c:pt>
                <c:pt idx="2">
                  <c:v>0.15985440499999998</c:v>
                </c:pt>
                <c:pt idx="3">
                  <c:v>0.16778112285714283</c:v>
                </c:pt>
                <c:pt idx="4">
                  <c:v>0.17952395103139893</c:v>
                </c:pt>
                <c:pt idx="5">
                  <c:v>0.20092466133051778</c:v>
                </c:pt>
                <c:pt idx="6">
                  <c:v>0.2336233484733311</c:v>
                </c:pt>
                <c:pt idx="7">
                  <c:v>0.28433113129777482</c:v>
                </c:pt>
                <c:pt idx="8">
                  <c:v>0.39133058409801241</c:v>
                </c:pt>
                <c:pt idx="9">
                  <c:v>0.70116116819602481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D1-4111-8B10-5CEA0C32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714480"/>
        <c:axId val="634770432"/>
      </c:barChart>
      <c:lineChart>
        <c:grouping val="standard"/>
        <c:varyColors val="0"/>
        <c:ser>
          <c:idx val="0"/>
          <c:order val="0"/>
          <c:tx>
            <c:v>Cost of capital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'Bond rating calculation'!$G$29:$G$38</c:f>
              <c:numCache>
                <c:formatCode>General</c:formatCode>
                <c:ptCount val="10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</c:numCache>
            </c:numRef>
          </c:cat>
          <c:val>
            <c:numRef>
              <c:f>'Bond rating calculation'!$O$29:$O$38</c:f>
              <c:numCache>
                <c:formatCode>0.00%</c:formatCode>
                <c:ptCount val="10"/>
                <c:pt idx="0">
                  <c:v>0.14875699999999997</c:v>
                </c:pt>
                <c:pt idx="1">
                  <c:v>0.144009462</c:v>
                </c:pt>
                <c:pt idx="2">
                  <c:v>0.13986912400000001</c:v>
                </c:pt>
                <c:pt idx="3">
                  <c:v>0.13934558599999997</c:v>
                </c:pt>
                <c:pt idx="4">
                  <c:v>0.15360610720343193</c:v>
                </c:pt>
                <c:pt idx="5">
                  <c:v>0.17302406724985148</c:v>
                </c:pt>
                <c:pt idx="6">
                  <c:v>0.20464107597392503</c:v>
                </c:pt>
                <c:pt idx="7">
                  <c:v>0.21852107597392503</c:v>
                </c:pt>
                <c:pt idx="8">
                  <c:v>0.27071785340419507</c:v>
                </c:pt>
                <c:pt idx="9">
                  <c:v>0.28924785340419501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82-4992-85E2-E447D0DA4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1714480"/>
        <c:axId val="634770432"/>
      </c:lineChart>
      <c:catAx>
        <c:axId val="6317144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Debt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70432"/>
        <c:crosses val="autoZero"/>
        <c:auto val="1"/>
        <c:lblAlgn val="ctr"/>
        <c:lblOffset val="100"/>
        <c:noMultiLvlLbl val="0"/>
      </c:catAx>
      <c:valAx>
        <c:axId val="634770432"/>
        <c:scaling>
          <c:orientation val="minMax"/>
          <c:max val="0.5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1714480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22</xdr:row>
      <xdr:rowOff>42862</xdr:rowOff>
    </xdr:from>
    <xdr:to>
      <xdr:col>5</xdr:col>
      <xdr:colOff>552450</xdr:colOff>
      <xdr:row>33</xdr:row>
      <xdr:rowOff>166687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3A7E8B-AB7C-4D11-8974-3803A91193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7B7AA-5FF5-46CF-B4EE-0023A2078A5C}">
  <dimension ref="A1:W37"/>
  <sheetViews>
    <sheetView topLeftCell="O1" workbookViewId="0">
      <selection activeCell="P2" sqref="P2"/>
    </sheetView>
  </sheetViews>
  <sheetFormatPr defaultRowHeight="15.75" x14ac:dyDescent="0.25"/>
  <cols>
    <col min="1" max="1" width="53.42578125" style="1" bestFit="1" customWidth="1"/>
    <col min="2" max="2" width="55.5703125" style="1" bestFit="1" customWidth="1"/>
    <col min="3" max="3" width="10.140625" style="1" bestFit="1" customWidth="1"/>
    <col min="4" max="4" width="8.85546875" style="1" customWidth="1"/>
    <col min="5" max="6" width="27.28515625" style="1" bestFit="1" customWidth="1"/>
    <col min="7" max="7" width="39.140625" style="1" bestFit="1" customWidth="1"/>
    <col min="8" max="11" width="27.28515625" style="1" bestFit="1" customWidth="1"/>
    <col min="12" max="12" width="36.28515625" style="1" bestFit="1" customWidth="1"/>
    <col min="13" max="13" width="58" style="1" bestFit="1" customWidth="1"/>
    <col min="14" max="14" width="41.140625" style="1" bestFit="1" customWidth="1"/>
    <col min="15" max="16" width="20.7109375" style="1" bestFit="1" customWidth="1"/>
    <col min="17" max="17" width="30.7109375" style="1" bestFit="1" customWidth="1"/>
    <col min="18" max="18" width="33" style="1" bestFit="1" customWidth="1"/>
    <col min="19" max="19" width="12.5703125" style="1" bestFit="1" customWidth="1"/>
    <col min="20" max="20" width="12" style="1" bestFit="1" customWidth="1"/>
    <col min="21" max="21" width="9.140625" style="1"/>
    <col min="22" max="22" width="18.42578125" style="1" bestFit="1" customWidth="1"/>
    <col min="23" max="16384" width="9.140625" style="1"/>
  </cols>
  <sheetData>
    <row r="1" spans="1:23" x14ac:dyDescent="0.25">
      <c r="A1" s="2" t="s">
        <v>0</v>
      </c>
      <c r="B1" s="2" t="s">
        <v>1</v>
      </c>
      <c r="C1" s="2" t="s">
        <v>2</v>
      </c>
      <c r="D1" s="2" t="s">
        <v>68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102</v>
      </c>
      <c r="Q1" s="2" t="s">
        <v>64</v>
      </c>
      <c r="R1" s="2" t="s">
        <v>65</v>
      </c>
      <c r="S1" s="2" t="s">
        <v>69</v>
      </c>
      <c r="T1" s="2" t="s">
        <v>70</v>
      </c>
      <c r="U1" s="2" t="s">
        <v>72</v>
      </c>
      <c r="V1"/>
      <c r="W1"/>
    </row>
    <row r="2" spans="1:23" x14ac:dyDescent="0.25">
      <c r="A2" s="1" t="s">
        <v>14</v>
      </c>
      <c r="B2" s="1" t="s">
        <v>15</v>
      </c>
      <c r="C2" s="1">
        <v>52220</v>
      </c>
      <c r="D2" s="1">
        <f>IF(C2=64191,1,0)</f>
        <v>0</v>
      </c>
      <c r="E2" s="1">
        <v>6375.5</v>
      </c>
      <c r="F2" s="1">
        <v>169459.1</v>
      </c>
      <c r="G2" s="1">
        <v>180750</v>
      </c>
      <c r="H2" s="1">
        <v>32621.200000000001</v>
      </c>
      <c r="I2" s="1">
        <v>1392.4</v>
      </c>
      <c r="J2" s="1">
        <v>452536.8</v>
      </c>
      <c r="K2" s="1">
        <v>234504.4</v>
      </c>
      <c r="L2" s="1">
        <v>39115.199999999997</v>
      </c>
      <c r="M2" s="1">
        <v>119324.8</v>
      </c>
      <c r="N2" s="1">
        <v>56481.2</v>
      </c>
      <c r="O2" s="1">
        <v>904073.99</v>
      </c>
      <c r="P2" s="1">
        <v>1.63</v>
      </c>
      <c r="Q2" s="5">
        <f t="shared" ref="Q2:Q31" si="0">(G2+H2)/(E2+F2+I2)</f>
        <v>1.203942965800922</v>
      </c>
      <c r="R2" s="12">
        <f t="shared" ref="R2:R31" si="1">(G2+H2)/O2</f>
        <v>0.23601077164049372</v>
      </c>
      <c r="S2" s="5">
        <f>P2/(1+R2)</f>
        <v>1.3187587336610218</v>
      </c>
      <c r="T2" s="5">
        <f>K2/J2</f>
        <v>0.51819962487028681</v>
      </c>
      <c r="U2" s="14">
        <f>N2/J2</f>
        <v>0.12481018118305516</v>
      </c>
      <c r="V2">
        <f>SUM(G2:H2)</f>
        <v>213371.2</v>
      </c>
      <c r="W2"/>
    </row>
    <row r="3" spans="1:23" ht="36" x14ac:dyDescent="0.55000000000000004">
      <c r="A3" s="1" t="s">
        <v>16</v>
      </c>
      <c r="B3" s="1" t="s">
        <v>17</v>
      </c>
      <c r="C3" s="1">
        <v>20221</v>
      </c>
      <c r="D3" s="1">
        <f t="shared" ref="D3:D31" si="2">IF(C3=64191,1,0)</f>
        <v>0</v>
      </c>
      <c r="E3" s="1">
        <v>4713.7</v>
      </c>
      <c r="F3" s="1">
        <v>75063.8</v>
      </c>
      <c r="G3" s="1">
        <v>410.7</v>
      </c>
      <c r="H3" s="1">
        <v>5044.3</v>
      </c>
      <c r="I3" s="1">
        <v>3754.5</v>
      </c>
      <c r="J3" s="1">
        <v>125680.2</v>
      </c>
      <c r="K3" s="1">
        <v>39646.199999999997</v>
      </c>
      <c r="L3" s="1">
        <v>10225.299999999999</v>
      </c>
      <c r="M3" s="1">
        <v>70450.2</v>
      </c>
      <c r="N3" s="1">
        <v>29054.6</v>
      </c>
      <c r="O3" s="1">
        <v>1107393.8500000001</v>
      </c>
      <c r="P3" s="1">
        <v>0.73</v>
      </c>
      <c r="Q3" s="5">
        <f t="shared" si="0"/>
        <v>6.5304314514198158E-2</v>
      </c>
      <c r="R3" s="12">
        <f t="shared" si="1"/>
        <v>4.9259800386285326E-3</v>
      </c>
      <c r="S3" s="5">
        <f t="shared" ref="S3:S31" si="3">P3/(1+R3)</f>
        <v>0.72642166139633424</v>
      </c>
      <c r="T3" s="5">
        <f t="shared" ref="T3:T31" si="4">K3/J3</f>
        <v>0.31545303078766584</v>
      </c>
      <c r="U3" s="14">
        <f t="shared" ref="U3:U31" si="5">N3/J3</f>
        <v>0.23117881734752171</v>
      </c>
      <c r="V3" s="46"/>
      <c r="W3"/>
    </row>
    <row r="4" spans="1:23" x14ac:dyDescent="0.25">
      <c r="A4" s="1" t="s">
        <v>18</v>
      </c>
      <c r="B4" s="1" t="s">
        <v>19</v>
      </c>
      <c r="C4" s="1">
        <v>64191</v>
      </c>
      <c r="D4" s="1">
        <f t="shared" si="2"/>
        <v>1</v>
      </c>
      <c r="E4" s="1">
        <v>5403.2</v>
      </c>
      <c r="F4" s="1">
        <v>559013.30000000005</v>
      </c>
      <c r="I4" s="1">
        <v>613.1</v>
      </c>
      <c r="J4" s="1">
        <v>6115551.2000000002</v>
      </c>
      <c r="K4" s="1">
        <v>65399.4</v>
      </c>
      <c r="L4" s="1">
        <v>25087.7</v>
      </c>
      <c r="N4" s="1">
        <v>-121989.6</v>
      </c>
      <c r="O4" s="1">
        <v>1552527.44</v>
      </c>
      <c r="P4" s="1">
        <v>1.35</v>
      </c>
      <c r="Q4" s="5">
        <f t="shared" si="0"/>
        <v>0</v>
      </c>
      <c r="R4" s="12">
        <f t="shared" si="1"/>
        <v>0</v>
      </c>
      <c r="S4" s="5">
        <f t="shared" si="3"/>
        <v>1.35</v>
      </c>
      <c r="T4" s="5">
        <f t="shared" si="4"/>
        <v>1.0693950203540116E-2</v>
      </c>
      <c r="U4" s="14">
        <f t="shared" si="5"/>
        <v>-1.9947441532334811E-2</v>
      </c>
      <c r="V4"/>
      <c r="W4"/>
    </row>
    <row r="5" spans="1:23" x14ac:dyDescent="0.25">
      <c r="A5" s="1" t="s">
        <v>20</v>
      </c>
      <c r="B5" s="1" t="s">
        <v>21</v>
      </c>
      <c r="C5" s="1">
        <v>30911</v>
      </c>
      <c r="D5" s="1">
        <f t="shared" si="2"/>
        <v>0</v>
      </c>
      <c r="E5" s="1">
        <v>2894.1</v>
      </c>
      <c r="F5" s="1">
        <v>127560.5</v>
      </c>
      <c r="G5" s="1">
        <v>1624.8</v>
      </c>
      <c r="I5" s="1">
        <v>0.4</v>
      </c>
      <c r="J5" s="1">
        <v>165587.79999999999</v>
      </c>
      <c r="K5" s="1">
        <v>49858.6</v>
      </c>
      <c r="L5" s="1">
        <v>18798.2</v>
      </c>
      <c r="M5" s="1">
        <v>46259.1</v>
      </c>
      <c r="N5" s="1">
        <v>48115.6</v>
      </c>
      <c r="O5" s="1">
        <v>972880.86</v>
      </c>
      <c r="P5" s="1">
        <v>0.83</v>
      </c>
      <c r="Q5" s="5">
        <f t="shared" si="0"/>
        <v>1.2454869495228239E-2</v>
      </c>
      <c r="R5" s="12">
        <f t="shared" si="1"/>
        <v>1.6700914436737916E-3</v>
      </c>
      <c r="S5" s="5">
        <f t="shared" si="3"/>
        <v>0.82861613528237477</v>
      </c>
      <c r="T5" s="5">
        <f t="shared" si="4"/>
        <v>0.30110068495384323</v>
      </c>
      <c r="U5" s="14">
        <f t="shared" si="5"/>
        <v>0.29057454715866748</v>
      </c>
      <c r="V5"/>
      <c r="W5"/>
    </row>
    <row r="6" spans="1:23" x14ac:dyDescent="0.25">
      <c r="A6" s="1" t="s">
        <v>22</v>
      </c>
      <c r="B6" s="1" t="s">
        <v>23</v>
      </c>
      <c r="C6" s="1">
        <v>61209</v>
      </c>
      <c r="D6" s="1">
        <f t="shared" si="2"/>
        <v>0</v>
      </c>
      <c r="E6" s="1">
        <v>88737</v>
      </c>
      <c r="F6" s="1">
        <v>654576</v>
      </c>
      <c r="G6" s="1">
        <v>896373</v>
      </c>
      <c r="H6" s="1">
        <v>129442</v>
      </c>
      <c r="I6" s="1">
        <v>68750</v>
      </c>
      <c r="J6" s="1">
        <v>2439182</v>
      </c>
      <c r="K6" s="1">
        <v>2717819</v>
      </c>
      <c r="L6" s="1">
        <v>31455</v>
      </c>
      <c r="M6" s="1">
        <v>233918</v>
      </c>
      <c r="N6" s="1">
        <v>357301</v>
      </c>
      <c r="O6" s="1">
        <v>1761054.61</v>
      </c>
      <c r="P6" s="1">
        <v>0.75</v>
      </c>
      <c r="Q6" s="5">
        <f t="shared" si="0"/>
        <v>1.2632209569947159</v>
      </c>
      <c r="R6" s="12">
        <f t="shared" si="1"/>
        <v>0.58250039162612899</v>
      </c>
      <c r="S6" s="5">
        <f t="shared" si="3"/>
        <v>0.47393353200331473</v>
      </c>
      <c r="T6" s="5">
        <f t="shared" si="4"/>
        <v>1.1142337882126057</v>
      </c>
      <c r="U6" s="14">
        <f t="shared" si="5"/>
        <v>0.14648394420752531</v>
      </c>
      <c r="V6"/>
      <c r="W6"/>
    </row>
    <row r="7" spans="1:23" x14ac:dyDescent="0.25">
      <c r="A7" s="1" t="s">
        <v>24</v>
      </c>
      <c r="B7" s="1" t="s">
        <v>25</v>
      </c>
      <c r="C7" s="1">
        <v>64300</v>
      </c>
      <c r="D7" s="1">
        <f t="shared" si="2"/>
        <v>0</v>
      </c>
      <c r="E7" s="1">
        <v>65533.3</v>
      </c>
      <c r="F7" s="1">
        <v>183193.7</v>
      </c>
      <c r="G7" s="1">
        <v>2948</v>
      </c>
      <c r="H7" s="1">
        <v>27334.9</v>
      </c>
      <c r="I7" s="1">
        <v>3459.2</v>
      </c>
      <c r="J7" s="1">
        <v>1198821.8</v>
      </c>
      <c r="K7" s="1">
        <v>291686.90000000002</v>
      </c>
      <c r="L7" s="1">
        <v>-58368.9</v>
      </c>
      <c r="M7" s="1">
        <v>720663.7</v>
      </c>
      <c r="N7" s="1">
        <v>143641.20000000001</v>
      </c>
      <c r="O7" s="1">
        <v>1865636.83</v>
      </c>
      <c r="P7" s="1">
        <v>0.97</v>
      </c>
      <c r="Q7" s="5">
        <f t="shared" si="0"/>
        <v>0.1200815112008508</v>
      </c>
      <c r="R7" s="12">
        <f t="shared" si="1"/>
        <v>1.6231937273665422E-2</v>
      </c>
      <c r="S7" s="5">
        <f t="shared" si="3"/>
        <v>0.95450651019914223</v>
      </c>
      <c r="T7" s="5">
        <f t="shared" si="4"/>
        <v>0.24331130781906035</v>
      </c>
      <c r="U7" s="14">
        <f t="shared" si="5"/>
        <v>0.1198186419366081</v>
      </c>
      <c r="V7"/>
      <c r="W7"/>
    </row>
    <row r="8" spans="1:23" x14ac:dyDescent="0.25">
      <c r="A8" s="1" t="s">
        <v>26</v>
      </c>
      <c r="B8" s="1" t="s">
        <v>27</v>
      </c>
      <c r="C8" s="1">
        <v>21002</v>
      </c>
      <c r="D8" s="1">
        <f t="shared" si="2"/>
        <v>0</v>
      </c>
      <c r="E8" s="1">
        <v>829</v>
      </c>
      <c r="F8" s="1">
        <v>121792</v>
      </c>
      <c r="G8" s="1">
        <v>5449</v>
      </c>
      <c r="H8" s="1">
        <v>43626</v>
      </c>
      <c r="J8" s="1">
        <v>218165</v>
      </c>
      <c r="K8" s="1">
        <v>159324</v>
      </c>
      <c r="L8" s="1">
        <v>9531</v>
      </c>
      <c r="M8" s="1">
        <v>96837</v>
      </c>
      <c r="N8" s="1">
        <v>24962</v>
      </c>
      <c r="O8" s="1">
        <v>390803.67</v>
      </c>
      <c r="P8" s="1">
        <v>0.52</v>
      </c>
      <c r="Q8" s="5">
        <f t="shared" si="0"/>
        <v>0.40021692858482644</v>
      </c>
      <c r="R8" s="12">
        <f t="shared" si="1"/>
        <v>0.12557456279773421</v>
      </c>
      <c r="S8" s="5">
        <f t="shared" si="3"/>
        <v>0.46198627544272608</v>
      </c>
      <c r="T8" s="5">
        <f t="shared" si="4"/>
        <v>0.73029129328719089</v>
      </c>
      <c r="U8" s="14">
        <f t="shared" si="5"/>
        <v>0.11441798638645062</v>
      </c>
      <c r="V8"/>
      <c r="W8"/>
    </row>
    <row r="9" spans="1:23" x14ac:dyDescent="0.25">
      <c r="A9" s="1" t="s">
        <v>28</v>
      </c>
      <c r="B9" s="1" t="s">
        <v>19</v>
      </c>
      <c r="C9" s="1">
        <v>64191</v>
      </c>
      <c r="D9" s="1">
        <f t="shared" si="2"/>
        <v>1</v>
      </c>
      <c r="E9" s="1">
        <v>8039.5</v>
      </c>
      <c r="F9" s="1">
        <v>912814.5</v>
      </c>
      <c r="I9" s="1">
        <v>2914.4</v>
      </c>
      <c r="J9" s="1">
        <v>8924626.9000000004</v>
      </c>
      <c r="K9" s="1">
        <v>107355.8</v>
      </c>
      <c r="L9" s="1">
        <v>152274.20000000001</v>
      </c>
      <c r="N9" s="1">
        <v>-198648.8</v>
      </c>
      <c r="O9" s="1">
        <v>5182964</v>
      </c>
      <c r="P9" s="1">
        <v>0.82</v>
      </c>
      <c r="Q9" s="5">
        <f t="shared" si="0"/>
        <v>0</v>
      </c>
      <c r="R9" s="12">
        <f t="shared" si="1"/>
        <v>0</v>
      </c>
      <c r="S9" s="5">
        <f t="shared" si="3"/>
        <v>0.82</v>
      </c>
      <c r="T9" s="5">
        <f t="shared" si="4"/>
        <v>1.2029163930651263E-2</v>
      </c>
      <c r="U9" s="14">
        <f t="shared" si="5"/>
        <v>-2.2258499120002426E-2</v>
      </c>
      <c r="V9"/>
      <c r="W9"/>
    </row>
    <row r="10" spans="1:23" x14ac:dyDescent="0.25">
      <c r="A10" s="1" t="s">
        <v>29</v>
      </c>
      <c r="B10" s="1" t="s">
        <v>21</v>
      </c>
      <c r="C10" s="1">
        <v>30911</v>
      </c>
      <c r="D10" s="1">
        <f t="shared" si="2"/>
        <v>0</v>
      </c>
      <c r="E10" s="1">
        <v>1073.2</v>
      </c>
      <c r="F10" s="1">
        <v>102755.7</v>
      </c>
      <c r="G10" s="1">
        <v>2079</v>
      </c>
      <c r="H10" s="1">
        <v>400.8</v>
      </c>
      <c r="I10" s="1">
        <v>673.8</v>
      </c>
      <c r="J10" s="1">
        <v>164908.9</v>
      </c>
      <c r="K10" s="1">
        <v>105977.1</v>
      </c>
      <c r="L10" s="1">
        <v>14932.4</v>
      </c>
      <c r="M10" s="1">
        <v>75942.100000000006</v>
      </c>
      <c r="N10" s="1">
        <v>45095.8</v>
      </c>
      <c r="O10" s="1">
        <v>726933.56</v>
      </c>
      <c r="P10" s="1">
        <v>0.93</v>
      </c>
      <c r="Q10" s="5">
        <f t="shared" si="0"/>
        <v>2.3729530433184983E-2</v>
      </c>
      <c r="R10" s="12">
        <f t="shared" si="1"/>
        <v>3.4113158842191851E-3</v>
      </c>
      <c r="S10" s="5">
        <f t="shared" si="3"/>
        <v>0.92683826191502716</v>
      </c>
      <c r="T10" s="5">
        <f t="shared" si="4"/>
        <v>0.64264026987021328</v>
      </c>
      <c r="U10" s="14">
        <f t="shared" si="5"/>
        <v>0.2734588612258041</v>
      </c>
      <c r="V10"/>
      <c r="W10"/>
    </row>
    <row r="11" spans="1:23" x14ac:dyDescent="0.25">
      <c r="A11" s="1" t="s">
        <v>30</v>
      </c>
      <c r="B11" s="1" t="s">
        <v>31</v>
      </c>
      <c r="C11" s="1">
        <v>20239</v>
      </c>
      <c r="D11" s="1">
        <f t="shared" si="2"/>
        <v>0</v>
      </c>
      <c r="E11" s="1">
        <v>2380</v>
      </c>
      <c r="F11" s="1">
        <v>65280</v>
      </c>
      <c r="H11" s="1">
        <v>2780</v>
      </c>
      <c r="I11" s="1">
        <v>220</v>
      </c>
      <c r="J11" s="1">
        <v>161630</v>
      </c>
      <c r="K11" s="1">
        <v>51710</v>
      </c>
      <c r="L11" s="1">
        <v>1870</v>
      </c>
      <c r="M11" s="1">
        <v>102570</v>
      </c>
      <c r="N11" s="1">
        <v>63400</v>
      </c>
      <c r="O11" s="1">
        <v>3024317.68</v>
      </c>
      <c r="P11" s="1">
        <v>0.51</v>
      </c>
      <c r="Q11" s="5">
        <f t="shared" si="0"/>
        <v>4.0954625810253387E-2</v>
      </c>
      <c r="R11" s="12">
        <f t="shared" si="1"/>
        <v>9.1921560303810407E-4</v>
      </c>
      <c r="S11" s="5">
        <f t="shared" si="3"/>
        <v>0.509531630574934</v>
      </c>
      <c r="T11" s="5">
        <f t="shared" si="4"/>
        <v>0.31992823114520819</v>
      </c>
      <c r="U11" s="14">
        <f t="shared" si="5"/>
        <v>0.3922539132586772</v>
      </c>
      <c r="V11"/>
      <c r="W11"/>
    </row>
    <row r="12" spans="1:23" x14ac:dyDescent="0.25">
      <c r="A12" s="1" t="s">
        <v>32</v>
      </c>
      <c r="B12" s="1" t="s">
        <v>33</v>
      </c>
      <c r="C12" s="1">
        <v>64192</v>
      </c>
      <c r="D12" s="1">
        <f t="shared" si="2"/>
        <v>0</v>
      </c>
      <c r="E12" s="1">
        <v>38414</v>
      </c>
      <c r="F12" s="1">
        <v>596904.80000000005</v>
      </c>
      <c r="G12" s="1">
        <v>1619520</v>
      </c>
      <c r="H12" s="1">
        <v>425522.2</v>
      </c>
      <c r="I12" s="1">
        <v>34725.699999999997</v>
      </c>
      <c r="J12" s="1">
        <v>4743663.3</v>
      </c>
      <c r="K12" s="1">
        <v>33591.9</v>
      </c>
      <c r="L12" s="1">
        <v>104414.3</v>
      </c>
      <c r="M12" s="1">
        <v>642195.19999999995</v>
      </c>
      <c r="N12" s="1">
        <v>-10496.3</v>
      </c>
      <c r="O12" s="1">
        <v>3120507.7</v>
      </c>
      <c r="P12" s="1">
        <v>0.96</v>
      </c>
      <c r="Q12" s="5">
        <f t="shared" si="0"/>
        <v>3.0520990770016021</v>
      </c>
      <c r="R12" s="12">
        <f t="shared" si="1"/>
        <v>0.65535560126962666</v>
      </c>
      <c r="S12" s="5">
        <f t="shared" si="3"/>
        <v>0.57993581515880821</v>
      </c>
      <c r="T12" s="5">
        <f t="shared" si="4"/>
        <v>7.0814258676411548E-3</v>
      </c>
      <c r="U12" s="14">
        <f t="shared" si="5"/>
        <v>-2.212699202323234E-3</v>
      </c>
      <c r="V12"/>
      <c r="W12"/>
    </row>
    <row r="13" spans="1:23" x14ac:dyDescent="0.25">
      <c r="A13" s="1" t="s">
        <v>34</v>
      </c>
      <c r="B13" s="1" t="s">
        <v>19</v>
      </c>
      <c r="C13" s="1">
        <v>64191</v>
      </c>
      <c r="D13" s="1">
        <f t="shared" si="2"/>
        <v>1</v>
      </c>
      <c r="E13" s="1">
        <v>60304.1</v>
      </c>
      <c r="F13" s="1">
        <v>1034668.9</v>
      </c>
      <c r="I13" s="1">
        <v>48653.1</v>
      </c>
      <c r="J13" s="1">
        <v>9895832.5999999996</v>
      </c>
      <c r="K13" s="1">
        <v>169963.7</v>
      </c>
      <c r="L13" s="1">
        <v>99531.6</v>
      </c>
      <c r="N13" s="1">
        <v>-195601.3</v>
      </c>
      <c r="O13" s="1">
        <v>2294950.83</v>
      </c>
      <c r="P13" s="1">
        <v>1.49</v>
      </c>
      <c r="Q13" s="5">
        <f t="shared" si="0"/>
        <v>0</v>
      </c>
      <c r="R13" s="12">
        <f t="shared" si="1"/>
        <v>0</v>
      </c>
      <c r="S13" s="5">
        <f t="shared" si="3"/>
        <v>1.49</v>
      </c>
      <c r="T13" s="5">
        <f t="shared" si="4"/>
        <v>1.7175280430673415E-2</v>
      </c>
      <c r="U13" s="14">
        <f t="shared" si="5"/>
        <v>-1.9766027570029831E-2</v>
      </c>
      <c r="V13"/>
      <c r="W13"/>
    </row>
    <row r="14" spans="1:23" x14ac:dyDescent="0.25">
      <c r="A14" s="1" t="s">
        <v>35</v>
      </c>
      <c r="B14" s="1" t="s">
        <v>36</v>
      </c>
      <c r="C14" s="1">
        <v>12003</v>
      </c>
      <c r="D14" s="1">
        <f t="shared" si="2"/>
        <v>0</v>
      </c>
      <c r="E14" s="1">
        <v>15094.8</v>
      </c>
      <c r="F14" s="1">
        <v>451981.9</v>
      </c>
      <c r="G14" s="1">
        <v>184</v>
      </c>
      <c r="H14" s="1">
        <v>191.1</v>
      </c>
      <c r="I14" s="1">
        <v>2947.4</v>
      </c>
      <c r="J14" s="1">
        <v>566152.69999999995</v>
      </c>
      <c r="K14" s="1">
        <v>180944.3</v>
      </c>
      <c r="L14" s="1">
        <v>21103.7</v>
      </c>
      <c r="M14" s="1">
        <v>263896.5</v>
      </c>
      <c r="N14" s="1">
        <v>153632.29999999999</v>
      </c>
      <c r="O14" s="1">
        <v>3361048.01</v>
      </c>
      <c r="P14" s="1">
        <v>0.6</v>
      </c>
      <c r="Q14" s="5">
        <f t="shared" si="0"/>
        <v>7.9804418539389786E-4</v>
      </c>
      <c r="R14" s="12">
        <f t="shared" si="1"/>
        <v>1.1160209520482275E-4</v>
      </c>
      <c r="S14" s="5">
        <f t="shared" si="3"/>
        <v>0.59993304621505983</v>
      </c>
      <c r="T14" s="5">
        <f t="shared" si="4"/>
        <v>0.31960335082743579</v>
      </c>
      <c r="U14" s="14">
        <f t="shared" si="5"/>
        <v>0.27136194881698877</v>
      </c>
      <c r="V14"/>
      <c r="W14"/>
    </row>
    <row r="15" spans="1:23" x14ac:dyDescent="0.25">
      <c r="A15" s="1" t="s">
        <v>37</v>
      </c>
      <c r="B15" s="1" t="s">
        <v>19</v>
      </c>
      <c r="C15" s="1">
        <v>64191</v>
      </c>
      <c r="D15" s="1">
        <f t="shared" si="2"/>
        <v>1</v>
      </c>
      <c r="E15" s="1">
        <v>5981.5</v>
      </c>
      <c r="F15" s="1">
        <v>200494.5</v>
      </c>
      <c r="J15" s="1">
        <v>1788611.7</v>
      </c>
      <c r="K15" s="1">
        <v>23219.599999999999</v>
      </c>
      <c r="L15" s="1">
        <v>28677.1</v>
      </c>
      <c r="N15" s="1">
        <v>-42111.199999999997</v>
      </c>
      <c r="O15" s="1">
        <v>1044351.91</v>
      </c>
      <c r="P15" s="1">
        <v>1.27</v>
      </c>
      <c r="Q15" s="5">
        <f t="shared" si="0"/>
        <v>0</v>
      </c>
      <c r="R15" s="12">
        <f t="shared" si="1"/>
        <v>0</v>
      </c>
      <c r="S15" s="5">
        <f t="shared" si="3"/>
        <v>1.27</v>
      </c>
      <c r="T15" s="5">
        <f t="shared" si="4"/>
        <v>1.2981912172440782E-2</v>
      </c>
      <c r="U15" s="14">
        <f t="shared" si="5"/>
        <v>-2.3544070521287541E-2</v>
      </c>
      <c r="V15"/>
      <c r="W15"/>
    </row>
    <row r="16" spans="1:23" x14ac:dyDescent="0.25">
      <c r="A16" s="1" t="s">
        <v>38</v>
      </c>
      <c r="B16" s="1" t="s">
        <v>39</v>
      </c>
      <c r="C16" s="1">
        <v>62013</v>
      </c>
      <c r="D16" s="1">
        <f t="shared" si="2"/>
        <v>0</v>
      </c>
      <c r="E16" s="1">
        <v>11440</v>
      </c>
      <c r="F16" s="1">
        <v>678380</v>
      </c>
      <c r="J16" s="1">
        <v>836730</v>
      </c>
      <c r="K16" s="1">
        <v>233790</v>
      </c>
      <c r="L16" s="1">
        <v>74010</v>
      </c>
      <c r="M16" s="1">
        <v>540230</v>
      </c>
      <c r="N16" s="1">
        <v>187440</v>
      </c>
      <c r="O16" s="1">
        <v>2580336.6800000002</v>
      </c>
      <c r="P16" s="1">
        <v>0.39</v>
      </c>
      <c r="Q16" s="5">
        <f t="shared" si="0"/>
        <v>0</v>
      </c>
      <c r="R16" s="12">
        <f t="shared" si="1"/>
        <v>0</v>
      </c>
      <c r="S16" s="5">
        <f t="shared" si="3"/>
        <v>0.39</v>
      </c>
      <c r="T16" s="5">
        <f t="shared" si="4"/>
        <v>0.27940912839267146</v>
      </c>
      <c r="U16" s="14">
        <f t="shared" si="5"/>
        <v>0.22401491520562189</v>
      </c>
      <c r="V16"/>
      <c r="W16"/>
    </row>
    <row r="17" spans="1:23" x14ac:dyDescent="0.25">
      <c r="A17" s="1" t="s">
        <v>40</v>
      </c>
      <c r="B17" s="1" t="s">
        <v>19</v>
      </c>
      <c r="C17" s="1">
        <v>64191</v>
      </c>
      <c r="D17" s="1">
        <f t="shared" si="2"/>
        <v>1</v>
      </c>
      <c r="E17" s="1">
        <v>13948.8</v>
      </c>
      <c r="F17" s="1">
        <v>375722.7</v>
      </c>
      <c r="I17" s="1">
        <v>4744.3</v>
      </c>
      <c r="J17" s="1">
        <v>2763848.4</v>
      </c>
      <c r="K17" s="1">
        <v>43401.2</v>
      </c>
      <c r="L17" s="1">
        <v>49418.8</v>
      </c>
      <c r="N17" s="1">
        <v>-78630.600000000006</v>
      </c>
      <c r="O17" s="1">
        <v>2121188.56</v>
      </c>
      <c r="P17" s="1">
        <v>0.97</v>
      </c>
      <c r="Q17" s="5">
        <f t="shared" si="0"/>
        <v>0</v>
      </c>
      <c r="R17" s="12">
        <f t="shared" si="1"/>
        <v>0</v>
      </c>
      <c r="S17" s="5">
        <f t="shared" si="3"/>
        <v>0.97</v>
      </c>
      <c r="T17" s="5">
        <f t="shared" si="4"/>
        <v>1.5703176773371505E-2</v>
      </c>
      <c r="U17" s="14">
        <f t="shared" si="5"/>
        <v>-2.8449679077911801E-2</v>
      </c>
      <c r="V17"/>
      <c r="W17"/>
    </row>
    <row r="18" spans="1:23" x14ac:dyDescent="0.25">
      <c r="A18" s="1" t="s">
        <v>41</v>
      </c>
      <c r="B18" s="1" t="s">
        <v>42</v>
      </c>
      <c r="C18" s="1">
        <v>42209</v>
      </c>
      <c r="D18" s="1">
        <f t="shared" si="2"/>
        <v>0</v>
      </c>
      <c r="E18" s="1">
        <v>50760.3</v>
      </c>
      <c r="F18" s="1">
        <v>498767.3</v>
      </c>
      <c r="G18" s="1">
        <v>661679.4</v>
      </c>
      <c r="H18" s="1">
        <v>165567.9</v>
      </c>
      <c r="I18" s="1">
        <v>35636</v>
      </c>
      <c r="J18" s="1">
        <v>2151662.1</v>
      </c>
      <c r="K18" s="1">
        <v>170055.9</v>
      </c>
      <c r="L18" s="1">
        <v>39712.300000000003</v>
      </c>
      <c r="M18" s="1">
        <v>1240737.8999999999</v>
      </c>
      <c r="N18" s="1">
        <v>93530.7</v>
      </c>
      <c r="O18" s="1">
        <v>2001093.46</v>
      </c>
      <c r="P18" s="1">
        <v>1.44</v>
      </c>
      <c r="Q18" s="5">
        <f t="shared" si="0"/>
        <v>1.413702595308389</v>
      </c>
      <c r="R18" s="12">
        <f t="shared" si="1"/>
        <v>0.41339763311204869</v>
      </c>
      <c r="S18" s="5">
        <f t="shared" si="3"/>
        <v>1.0188215731120036</v>
      </c>
      <c r="T18" s="5">
        <f t="shared" si="4"/>
        <v>7.9034668129349853E-2</v>
      </c>
      <c r="U18" s="14">
        <f t="shared" si="5"/>
        <v>4.3469046557077895E-2</v>
      </c>
      <c r="V18"/>
      <c r="W18"/>
    </row>
    <row r="19" spans="1:23" x14ac:dyDescent="0.25">
      <c r="A19" s="1" t="s">
        <v>43</v>
      </c>
      <c r="B19" s="1" t="s">
        <v>44</v>
      </c>
      <c r="C19" s="1">
        <v>2910</v>
      </c>
      <c r="D19" s="1">
        <f t="shared" si="2"/>
        <v>0</v>
      </c>
      <c r="E19" s="1">
        <v>66277.899999999994</v>
      </c>
      <c r="F19" s="1">
        <v>294671</v>
      </c>
      <c r="G19" s="1">
        <v>301573.3</v>
      </c>
      <c r="H19" s="1">
        <v>101240.8</v>
      </c>
      <c r="I19" s="1">
        <v>63569</v>
      </c>
      <c r="J19" s="1">
        <v>1162850.2</v>
      </c>
      <c r="K19" s="1">
        <v>467686.5</v>
      </c>
      <c r="L19" s="1">
        <v>29243.7</v>
      </c>
      <c r="M19" s="1">
        <v>490904.6</v>
      </c>
      <c r="N19" s="1">
        <v>36061.599999999999</v>
      </c>
      <c r="O19" s="1">
        <v>949488.31</v>
      </c>
      <c r="P19" s="1">
        <v>0.79</v>
      </c>
      <c r="Q19" s="5">
        <f t="shared" si="0"/>
        <v>0.94887424063861603</v>
      </c>
      <c r="R19" s="12">
        <f t="shared" si="1"/>
        <v>0.42424334850420636</v>
      </c>
      <c r="S19" s="5">
        <f t="shared" si="3"/>
        <v>0.55468049110405715</v>
      </c>
      <c r="T19" s="5">
        <f t="shared" si="4"/>
        <v>0.40218980914308655</v>
      </c>
      <c r="U19" s="14">
        <f t="shared" si="5"/>
        <v>3.1011389085197731E-2</v>
      </c>
      <c r="V19"/>
      <c r="W19"/>
    </row>
    <row r="20" spans="1:23" x14ac:dyDescent="0.25">
      <c r="A20" s="1" t="s">
        <v>45</v>
      </c>
      <c r="B20" s="1" t="s">
        <v>46</v>
      </c>
      <c r="C20" s="1">
        <v>29101</v>
      </c>
      <c r="D20" s="1">
        <f t="shared" si="2"/>
        <v>0</v>
      </c>
      <c r="E20" s="1">
        <v>1664</v>
      </c>
      <c r="F20" s="1">
        <v>369241</v>
      </c>
      <c r="H20" s="1">
        <v>5750</v>
      </c>
      <c r="I20" s="1">
        <v>154</v>
      </c>
      <c r="J20" s="1">
        <v>525649</v>
      </c>
      <c r="K20" s="1">
        <v>186802</v>
      </c>
      <c r="L20" s="1">
        <v>62374</v>
      </c>
      <c r="M20" s="1">
        <v>87986</v>
      </c>
      <c r="N20" s="1">
        <v>106449</v>
      </c>
      <c r="O20" s="1">
        <v>2910390.34</v>
      </c>
      <c r="P20" s="1">
        <v>1.03</v>
      </c>
      <c r="Q20" s="5">
        <f t="shared" si="0"/>
        <v>1.549618793776731E-2</v>
      </c>
      <c r="R20" s="12">
        <f t="shared" si="1"/>
        <v>1.9756800044903942E-3</v>
      </c>
      <c r="S20" s="5">
        <f t="shared" si="3"/>
        <v>1.0279690620788162</v>
      </c>
      <c r="T20" s="5">
        <f t="shared" si="4"/>
        <v>0.35537402335018237</v>
      </c>
      <c r="U20" s="14">
        <f t="shared" si="5"/>
        <v>0.20250965948760485</v>
      </c>
      <c r="V20"/>
      <c r="W20"/>
    </row>
    <row r="21" spans="1:23" x14ac:dyDescent="0.25">
      <c r="A21" s="1" t="s">
        <v>47</v>
      </c>
      <c r="B21" s="1" t="s">
        <v>48</v>
      </c>
      <c r="C21" s="1">
        <v>35103</v>
      </c>
      <c r="D21" s="1">
        <f t="shared" si="2"/>
        <v>0</v>
      </c>
      <c r="E21" s="1">
        <v>90487.2</v>
      </c>
      <c r="F21" s="1">
        <v>895925.6</v>
      </c>
      <c r="G21" s="1">
        <v>1053006</v>
      </c>
      <c r="H21" s="1">
        <v>31202.400000000001</v>
      </c>
      <c r="I21" s="1">
        <v>8032.6</v>
      </c>
      <c r="J21" s="1">
        <v>2618153.5</v>
      </c>
      <c r="K21" s="1">
        <v>1170878.8</v>
      </c>
      <c r="L21" s="1">
        <v>64789.5</v>
      </c>
      <c r="M21" s="1">
        <v>306362.59999999998</v>
      </c>
      <c r="N21" s="1">
        <v>211499.1</v>
      </c>
      <c r="O21" s="1">
        <v>1409974.41</v>
      </c>
      <c r="P21" s="1">
        <v>0.95</v>
      </c>
      <c r="Q21" s="5">
        <f t="shared" si="0"/>
        <v>1.0902643825392526</v>
      </c>
      <c r="R21" s="12">
        <f t="shared" si="1"/>
        <v>0.76895608339444965</v>
      </c>
      <c r="S21" s="5">
        <f t="shared" si="3"/>
        <v>0.53703990105681143</v>
      </c>
      <c r="T21" s="5">
        <f t="shared" si="4"/>
        <v>0.44721548984809334</v>
      </c>
      <c r="U21" s="14">
        <f t="shared" si="5"/>
        <v>8.0781779983488372E-2</v>
      </c>
      <c r="V21"/>
      <c r="W21"/>
    </row>
    <row r="22" spans="1:23" x14ac:dyDescent="0.25">
      <c r="A22" s="1" t="s">
        <v>49</v>
      </c>
      <c r="B22" s="1" t="s">
        <v>50</v>
      </c>
      <c r="C22" s="1">
        <v>610</v>
      </c>
      <c r="D22" s="1">
        <f t="shared" si="2"/>
        <v>0</v>
      </c>
      <c r="E22" s="1">
        <v>105409.4</v>
      </c>
      <c r="F22" s="1">
        <v>2147728.4</v>
      </c>
      <c r="G22" s="1">
        <v>456545.4</v>
      </c>
      <c r="H22" s="1">
        <v>100273.4</v>
      </c>
      <c r="I22" s="1">
        <v>41243</v>
      </c>
      <c r="J22" s="1">
        <v>4283603.5</v>
      </c>
      <c r="K22" s="1">
        <v>2448623.7000000002</v>
      </c>
      <c r="L22" s="1">
        <v>90445.3</v>
      </c>
      <c r="M22" s="1">
        <v>574805</v>
      </c>
      <c r="N22" s="1">
        <v>482930.5</v>
      </c>
      <c r="O22" s="1">
        <v>2630171.5499999998</v>
      </c>
      <c r="P22" s="1">
        <v>1.25</v>
      </c>
      <c r="Q22" s="5">
        <f t="shared" si="0"/>
        <v>0.24268804899343652</v>
      </c>
      <c r="R22" s="12">
        <f t="shared" si="1"/>
        <v>0.21170436582359051</v>
      </c>
      <c r="S22" s="5">
        <f t="shared" si="3"/>
        <v>1.0316047670178858</v>
      </c>
      <c r="T22" s="5">
        <f t="shared" si="4"/>
        <v>0.57162706585705236</v>
      </c>
      <c r="U22" s="14">
        <f t="shared" si="5"/>
        <v>0.11273930932216299</v>
      </c>
      <c r="V22"/>
      <c r="W22"/>
    </row>
    <row r="23" spans="1:23" x14ac:dyDescent="0.25">
      <c r="A23" s="1" t="s">
        <v>51</v>
      </c>
      <c r="B23" s="1" t="s">
        <v>52</v>
      </c>
      <c r="C23" s="1">
        <v>35107</v>
      </c>
      <c r="D23" s="1">
        <f t="shared" si="2"/>
        <v>0</v>
      </c>
      <c r="E23" s="1">
        <v>52315.9</v>
      </c>
      <c r="F23" s="1">
        <v>446339.1</v>
      </c>
      <c r="G23" s="1">
        <v>1112531.7</v>
      </c>
      <c r="H23" s="1">
        <v>15000</v>
      </c>
      <c r="J23" s="1">
        <v>2134605.2999999998</v>
      </c>
      <c r="K23" s="1">
        <v>1519632.7</v>
      </c>
      <c r="L23" s="1">
        <v>58586.3</v>
      </c>
      <c r="M23" s="1">
        <v>154506.6</v>
      </c>
      <c r="N23" s="1">
        <v>227859.8</v>
      </c>
      <c r="O23" s="1">
        <v>1015713.13</v>
      </c>
      <c r="P23" s="1">
        <v>0.88</v>
      </c>
      <c r="Q23" s="5">
        <f t="shared" si="0"/>
        <v>2.2611458824237198</v>
      </c>
      <c r="R23" s="12">
        <f t="shared" si="1"/>
        <v>1.1100887314511725</v>
      </c>
      <c r="S23" s="5">
        <f t="shared" si="3"/>
        <v>0.41704407349486056</v>
      </c>
      <c r="T23" s="5">
        <f t="shared" si="4"/>
        <v>0.71190336686599631</v>
      </c>
      <c r="U23" s="14">
        <f t="shared" si="5"/>
        <v>0.10674563583253542</v>
      </c>
      <c r="V23"/>
      <c r="W23"/>
    </row>
    <row r="24" spans="1:23" x14ac:dyDescent="0.25">
      <c r="A24" s="1" t="s">
        <v>53</v>
      </c>
      <c r="B24" s="1" t="s">
        <v>54</v>
      </c>
      <c r="C24" s="1">
        <v>19209</v>
      </c>
      <c r="D24" s="1">
        <f t="shared" si="2"/>
        <v>0</v>
      </c>
      <c r="E24" s="1">
        <v>58760</v>
      </c>
      <c r="F24" s="1">
        <v>2607460</v>
      </c>
      <c r="G24" s="1">
        <v>1521480</v>
      </c>
      <c r="H24" s="1">
        <v>315280</v>
      </c>
      <c r="I24" s="1">
        <v>29170</v>
      </c>
      <c r="J24" s="1">
        <v>7094790</v>
      </c>
      <c r="K24" s="1">
        <v>3612930</v>
      </c>
      <c r="L24" s="1">
        <v>299010</v>
      </c>
      <c r="M24" s="1">
        <v>1468130</v>
      </c>
      <c r="N24" s="1">
        <v>469920</v>
      </c>
      <c r="O24" s="1">
        <v>6104834.5199999996</v>
      </c>
      <c r="P24" s="1">
        <v>0.96</v>
      </c>
      <c r="Q24" s="5">
        <f t="shared" si="0"/>
        <v>0.68144498569780254</v>
      </c>
      <c r="R24" s="12">
        <f t="shared" si="1"/>
        <v>0.3008697441319016</v>
      </c>
      <c r="S24" s="5">
        <f t="shared" si="3"/>
        <v>0.73796781294243163</v>
      </c>
      <c r="T24" s="5">
        <f t="shared" si="4"/>
        <v>0.5092370598706939</v>
      </c>
      <c r="U24" s="14">
        <f t="shared" si="5"/>
        <v>6.6234518569259979E-2</v>
      </c>
      <c r="V24"/>
      <c r="W24"/>
    </row>
    <row r="25" spans="1:23" x14ac:dyDescent="0.25">
      <c r="A25" s="1" t="s">
        <v>55</v>
      </c>
      <c r="B25" s="1" t="s">
        <v>19</v>
      </c>
      <c r="C25" s="1">
        <v>64191</v>
      </c>
      <c r="D25" s="1">
        <f t="shared" si="2"/>
        <v>1</v>
      </c>
      <c r="E25" s="1">
        <v>72780</v>
      </c>
      <c r="F25" s="1">
        <v>2163947.9</v>
      </c>
      <c r="I25" s="1">
        <v>64806.5</v>
      </c>
      <c r="J25" s="1">
        <v>34528352.299999997</v>
      </c>
      <c r="K25" s="1">
        <v>716812.4</v>
      </c>
      <c r="L25" s="1">
        <v>-22552.9</v>
      </c>
      <c r="N25" s="1">
        <v>-585440.19999999995</v>
      </c>
      <c r="O25" s="1">
        <v>2685431.94</v>
      </c>
      <c r="P25" s="1">
        <v>1.65</v>
      </c>
      <c r="Q25" s="5">
        <f t="shared" si="0"/>
        <v>0</v>
      </c>
      <c r="R25" s="12">
        <f t="shared" si="1"/>
        <v>0</v>
      </c>
      <c r="S25" s="5">
        <f t="shared" si="3"/>
        <v>1.65</v>
      </c>
      <c r="T25" s="5">
        <f t="shared" si="4"/>
        <v>2.0760110235552715E-2</v>
      </c>
      <c r="U25" s="14">
        <f t="shared" si="5"/>
        <v>-1.6955347156834936E-2</v>
      </c>
    </row>
    <row r="26" spans="1:23" x14ac:dyDescent="0.25">
      <c r="A26" s="1" t="s">
        <v>56</v>
      </c>
      <c r="B26" s="1" t="s">
        <v>27</v>
      </c>
      <c r="C26" s="1">
        <v>21002</v>
      </c>
      <c r="D26" s="1">
        <f t="shared" si="2"/>
        <v>0</v>
      </c>
      <c r="E26" s="1">
        <v>40307.9</v>
      </c>
      <c r="F26" s="1">
        <v>363997.4</v>
      </c>
      <c r="G26" s="1">
        <v>14360.8</v>
      </c>
      <c r="H26" s="1">
        <v>66549.2</v>
      </c>
      <c r="I26" s="1">
        <v>37908.6</v>
      </c>
      <c r="J26" s="1">
        <v>621227.80000000005</v>
      </c>
      <c r="K26" s="1">
        <v>244664.2</v>
      </c>
      <c r="L26" s="1">
        <v>66746.899999999994</v>
      </c>
      <c r="M26" s="1">
        <v>331646.40000000002</v>
      </c>
      <c r="N26" s="1">
        <v>97588</v>
      </c>
      <c r="O26" s="1">
        <v>1408514.55</v>
      </c>
      <c r="P26" s="1">
        <v>0.5</v>
      </c>
      <c r="Q26" s="5">
        <f t="shared" si="0"/>
        <v>0.18296575480779775</v>
      </c>
      <c r="R26" s="12">
        <f t="shared" si="1"/>
        <v>5.7443496057601962E-2</v>
      </c>
      <c r="S26" s="5">
        <f t="shared" si="3"/>
        <v>0.47283850329981464</v>
      </c>
      <c r="T26" s="5">
        <f t="shared" si="4"/>
        <v>0.39383974767388064</v>
      </c>
      <c r="U26" s="14">
        <f t="shared" si="5"/>
        <v>0.15708891327786681</v>
      </c>
    </row>
    <row r="27" spans="1:23" x14ac:dyDescent="0.25">
      <c r="A27" s="1" t="s">
        <v>57</v>
      </c>
      <c r="B27" s="1" t="s">
        <v>39</v>
      </c>
      <c r="C27" s="1">
        <v>62013</v>
      </c>
      <c r="D27" s="1">
        <f t="shared" si="2"/>
        <v>0</v>
      </c>
      <c r="E27" s="1">
        <v>5630</v>
      </c>
      <c r="F27" s="1">
        <v>860170</v>
      </c>
      <c r="G27" s="1">
        <v>710</v>
      </c>
      <c r="H27" s="1">
        <v>2000</v>
      </c>
      <c r="I27" s="1">
        <v>3660</v>
      </c>
      <c r="J27" s="1">
        <v>1042020</v>
      </c>
      <c r="K27" s="1">
        <v>229880</v>
      </c>
      <c r="L27" s="1">
        <v>153420</v>
      </c>
      <c r="M27" s="1">
        <v>811690</v>
      </c>
      <c r="N27" s="1">
        <v>324530</v>
      </c>
      <c r="O27" s="1">
        <v>6116340.2800000003</v>
      </c>
      <c r="P27" s="1">
        <v>0.38</v>
      </c>
      <c r="Q27" s="5">
        <f t="shared" si="0"/>
        <v>3.1168771421341982E-3</v>
      </c>
      <c r="R27" s="12">
        <f t="shared" si="1"/>
        <v>4.4307541371782537E-4</v>
      </c>
      <c r="S27" s="5">
        <f t="shared" si="3"/>
        <v>0.37983170590976084</v>
      </c>
      <c r="T27" s="5">
        <f t="shared" si="4"/>
        <v>0.2206099690984818</v>
      </c>
      <c r="U27" s="14">
        <f t="shared" si="5"/>
        <v>0.31144315848064336</v>
      </c>
    </row>
    <row r="28" spans="1:23" x14ac:dyDescent="0.25">
      <c r="A28" s="1" t="s">
        <v>58</v>
      </c>
      <c r="B28" s="1" t="s">
        <v>59</v>
      </c>
      <c r="C28" s="1">
        <v>29102</v>
      </c>
      <c r="D28" s="1">
        <f t="shared" si="2"/>
        <v>0</v>
      </c>
      <c r="E28" s="1">
        <v>11323.9</v>
      </c>
      <c r="F28" s="1">
        <v>573826.69999999995</v>
      </c>
      <c r="G28" s="1">
        <v>606291.80000000005</v>
      </c>
      <c r="H28" s="1">
        <v>138599.4</v>
      </c>
      <c r="I28" s="1">
        <v>4531.7</v>
      </c>
      <c r="J28" s="1">
        <v>2885646.2</v>
      </c>
      <c r="K28" s="1">
        <v>1635122.1</v>
      </c>
      <c r="L28" s="1">
        <v>73813.600000000006</v>
      </c>
      <c r="M28" s="1">
        <v>1182093</v>
      </c>
      <c r="N28" s="1">
        <v>419538.3</v>
      </c>
      <c r="O28" s="1">
        <v>1152918.23</v>
      </c>
      <c r="P28" s="1">
        <v>1.29</v>
      </c>
      <c r="Q28" s="5">
        <f t="shared" si="0"/>
        <v>1.2632076628381081</v>
      </c>
      <c r="R28" s="12">
        <f t="shared" si="1"/>
        <v>0.64609196091903243</v>
      </c>
      <c r="S28" s="5">
        <f t="shared" si="3"/>
        <v>0.7836743211356052</v>
      </c>
      <c r="T28" s="5">
        <f t="shared" si="4"/>
        <v>0.56663983963106768</v>
      </c>
      <c r="U28" s="14">
        <f t="shared" si="5"/>
        <v>0.14538798969880645</v>
      </c>
    </row>
    <row r="29" spans="1:23" x14ac:dyDescent="0.25">
      <c r="A29" s="1" t="s">
        <v>60</v>
      </c>
      <c r="B29" s="1" t="s">
        <v>61</v>
      </c>
      <c r="C29" s="1">
        <v>24105</v>
      </c>
      <c r="D29" s="1">
        <f t="shared" si="2"/>
        <v>0</v>
      </c>
      <c r="E29" s="1">
        <v>48669.1</v>
      </c>
      <c r="F29" s="1">
        <v>345740.7</v>
      </c>
      <c r="G29" s="1">
        <v>640023</v>
      </c>
      <c r="H29" s="1">
        <v>183281</v>
      </c>
      <c r="I29" s="1">
        <v>16017</v>
      </c>
      <c r="J29" s="1">
        <v>1735601</v>
      </c>
      <c r="K29" s="1">
        <v>1313019.6000000001</v>
      </c>
      <c r="L29" s="1">
        <v>-53395.199999999997</v>
      </c>
      <c r="M29" s="1">
        <v>511489.2</v>
      </c>
      <c r="N29" s="1">
        <v>162698.29999999999</v>
      </c>
      <c r="O29" s="1">
        <v>760219.24</v>
      </c>
      <c r="P29" s="1">
        <v>1.47</v>
      </c>
      <c r="Q29" s="5">
        <f t="shared" si="0"/>
        <v>2.0059703703559322</v>
      </c>
      <c r="R29" s="12">
        <f t="shared" si="1"/>
        <v>1.0829823249408947</v>
      </c>
      <c r="S29" s="5">
        <f t="shared" si="3"/>
        <v>0.70571890236356738</v>
      </c>
      <c r="T29" s="5">
        <f t="shared" si="4"/>
        <v>0.75652157379489882</v>
      </c>
      <c r="U29" s="14">
        <f t="shared" si="5"/>
        <v>9.3741764380177228E-2</v>
      </c>
    </row>
    <row r="30" spans="1:23" x14ac:dyDescent="0.25">
      <c r="A30" s="1" t="s">
        <v>62</v>
      </c>
      <c r="B30" s="1" t="s">
        <v>39</v>
      </c>
      <c r="C30" s="1">
        <v>62013</v>
      </c>
      <c r="D30" s="1">
        <f t="shared" si="2"/>
        <v>0</v>
      </c>
      <c r="E30" s="1">
        <v>7252</v>
      </c>
      <c r="F30" s="1">
        <v>511841</v>
      </c>
      <c r="G30" s="1">
        <v>19611</v>
      </c>
      <c r="H30" s="1">
        <v>116741</v>
      </c>
      <c r="I30" s="1">
        <v>2391</v>
      </c>
      <c r="J30" s="1">
        <v>799861</v>
      </c>
      <c r="K30" s="1">
        <v>305252</v>
      </c>
      <c r="L30" s="1">
        <v>76197</v>
      </c>
      <c r="M30" s="1">
        <v>540698</v>
      </c>
      <c r="N30" s="1">
        <v>111554</v>
      </c>
      <c r="O30" s="1">
        <v>1411119.46</v>
      </c>
      <c r="P30" s="1">
        <v>0.37</v>
      </c>
      <c r="Q30" s="5">
        <f t="shared" si="0"/>
        <v>0.26146919176810796</v>
      </c>
      <c r="R30" s="12">
        <f t="shared" si="1"/>
        <v>9.6626829878740383E-2</v>
      </c>
      <c r="S30" s="5">
        <f t="shared" si="3"/>
        <v>0.33739827434361858</v>
      </c>
      <c r="T30" s="5">
        <f t="shared" si="4"/>
        <v>0.38163130843984144</v>
      </c>
      <c r="U30" s="14">
        <f t="shared" si="5"/>
        <v>0.13946673234474491</v>
      </c>
    </row>
    <row r="31" spans="1:23" x14ac:dyDescent="0.25">
      <c r="A31" s="1" t="s">
        <v>63</v>
      </c>
      <c r="B31" s="1" t="s">
        <v>19</v>
      </c>
      <c r="C31" s="1">
        <v>64191</v>
      </c>
      <c r="D31" s="1">
        <f t="shared" si="2"/>
        <v>1</v>
      </c>
      <c r="E31" s="1">
        <v>4564.8999999999996</v>
      </c>
      <c r="F31" s="1">
        <v>215831.4</v>
      </c>
      <c r="J31" s="1">
        <v>2150596.9</v>
      </c>
      <c r="K31" s="1">
        <v>12180.9</v>
      </c>
      <c r="L31" s="1">
        <v>33393.199999999997</v>
      </c>
      <c r="N31" s="1">
        <v>-39960</v>
      </c>
      <c r="O31" s="1">
        <v>822679.24</v>
      </c>
      <c r="P31" s="1">
        <v>1.66</v>
      </c>
      <c r="Q31" s="5">
        <f t="shared" si="0"/>
        <v>0</v>
      </c>
      <c r="R31" s="12">
        <f t="shared" si="1"/>
        <v>0</v>
      </c>
      <c r="S31" s="5">
        <f t="shared" si="3"/>
        <v>1.66</v>
      </c>
      <c r="T31" s="5">
        <f t="shared" si="4"/>
        <v>5.663962409691933E-3</v>
      </c>
      <c r="U31" s="14">
        <f t="shared" si="5"/>
        <v>-1.8580887938599744E-2</v>
      </c>
    </row>
    <row r="33" spans="1:17" x14ac:dyDescent="0.25">
      <c r="Q33" s="5"/>
    </row>
    <row r="34" spans="1:17" x14ac:dyDescent="0.25">
      <c r="A34" s="2" t="s">
        <v>66</v>
      </c>
      <c r="B34" s="5">
        <f>CORREL(P2:P31,Q2:Q31)</f>
        <v>0.17608995266690719</v>
      </c>
    </row>
    <row r="35" spans="1:17" x14ac:dyDescent="0.25">
      <c r="A35" s="2" t="s">
        <v>67</v>
      </c>
      <c r="B35" s="12">
        <f>SLOPE(P2:P31,Q2:Q31)</f>
        <v>8.6405428456213698E-2</v>
      </c>
    </row>
    <row r="36" spans="1:17" x14ac:dyDescent="0.25">
      <c r="A36" s="2" t="s">
        <v>71</v>
      </c>
      <c r="B36" s="12">
        <f>CORREL(T2:T31,Q2:Q31)</f>
        <v>0.34076570451603283</v>
      </c>
    </row>
    <row r="37" spans="1:17" x14ac:dyDescent="0.25">
      <c r="A37" s="2" t="s">
        <v>98</v>
      </c>
      <c r="B37" s="12">
        <f>CORREL(U2:U31,Q2:Q31)</f>
        <v>-0.21380031717422723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5CC29-2104-4DA1-8634-020FC23152E6}">
  <dimension ref="A2:R68"/>
  <sheetViews>
    <sheetView topLeftCell="I1" workbookViewId="0">
      <selection activeCell="L8" sqref="L8"/>
    </sheetView>
  </sheetViews>
  <sheetFormatPr defaultRowHeight="15.75" x14ac:dyDescent="0.25"/>
  <cols>
    <col min="1" max="1" width="26.85546875" style="1" bestFit="1" customWidth="1"/>
    <col min="2" max="2" width="14" style="1" bestFit="1" customWidth="1"/>
    <col min="3" max="3" width="13.28515625" style="1" bestFit="1" customWidth="1"/>
    <col min="4" max="4" width="14.5703125" style="1" bestFit="1" customWidth="1"/>
    <col min="5" max="5" width="37.28515625" style="1" customWidth="1"/>
    <col min="6" max="6" width="22" style="1" bestFit="1" customWidth="1"/>
    <col min="7" max="7" width="15.28515625" style="1" bestFit="1" customWidth="1"/>
    <col min="8" max="8" width="23.28515625" style="1" bestFit="1" customWidth="1"/>
    <col min="9" max="9" width="23.85546875" style="1" customWidth="1"/>
    <col min="10" max="10" width="22.28515625" style="1" bestFit="1" customWidth="1"/>
    <col min="11" max="11" width="11.28515625" style="1" bestFit="1" customWidth="1"/>
    <col min="12" max="12" width="22.140625" style="1" bestFit="1" customWidth="1"/>
    <col min="13" max="13" width="14.85546875" style="1" bestFit="1" customWidth="1"/>
    <col min="14" max="14" width="14.7109375" style="1" bestFit="1" customWidth="1"/>
    <col min="15" max="16" width="18.140625" style="1" bestFit="1" customWidth="1"/>
    <col min="17" max="18" width="22.28515625" style="1" bestFit="1" customWidth="1"/>
    <col min="19" max="19" width="19.7109375" style="1" bestFit="1" customWidth="1"/>
    <col min="20" max="16384" width="9.140625" style="1"/>
  </cols>
  <sheetData>
    <row r="2" spans="1:16" x14ac:dyDescent="0.25">
      <c r="J2" s="2" t="s">
        <v>93</v>
      </c>
      <c r="K2" s="2" t="s">
        <v>94</v>
      </c>
      <c r="L2" s="2" t="s">
        <v>92</v>
      </c>
      <c r="M2" s="2" t="s">
        <v>95</v>
      </c>
      <c r="N2" s="3" t="s">
        <v>75</v>
      </c>
      <c r="O2" s="2"/>
    </row>
    <row r="3" spans="1:16" x14ac:dyDescent="0.25">
      <c r="A3" s="4" t="s">
        <v>91</v>
      </c>
      <c r="B3" s="4" t="s">
        <v>73</v>
      </c>
      <c r="C3" s="4" t="s">
        <v>74</v>
      </c>
      <c r="D3" s="4" t="s">
        <v>75</v>
      </c>
      <c r="E3" s="4" t="s">
        <v>101</v>
      </c>
      <c r="F3" s="4"/>
      <c r="I3" s="1" t="s">
        <v>14</v>
      </c>
      <c r="J3" s="1">
        <v>-10875.3</v>
      </c>
      <c r="K3" s="1">
        <v>68980.100000000006</v>
      </c>
      <c r="L3" s="5">
        <f t="shared" ref="L3:L24" si="0">-K3/J3</f>
        <v>6.3428227267293789</v>
      </c>
      <c r="M3" s="1" t="str">
        <f t="shared" ref="M3:M24" si="1">VLOOKUP(L3,$A$4:$F$18,3)</f>
        <v>A1/A+</v>
      </c>
      <c r="N3" s="6">
        <f t="shared" ref="N3:N24" si="2">VLOOKUP(L3,$A$4:$F$18,4)</f>
        <v>8.9999999999999993E-3</v>
      </c>
      <c r="O3" s="7"/>
      <c r="P3" s="8"/>
    </row>
    <row r="4" spans="1:16" x14ac:dyDescent="0.25">
      <c r="A4" s="9">
        <v>-100000</v>
      </c>
      <c r="B4" s="9">
        <v>0.19999900000000001</v>
      </c>
      <c r="C4" s="9" t="s">
        <v>76</v>
      </c>
      <c r="D4" s="10">
        <v>0.186</v>
      </c>
      <c r="E4" s="34">
        <v>100</v>
      </c>
      <c r="F4" s="27"/>
      <c r="I4" s="1" t="s">
        <v>16</v>
      </c>
      <c r="J4" s="1">
        <v>-356.8</v>
      </c>
      <c r="K4" s="1">
        <v>32981.5</v>
      </c>
      <c r="L4" s="5">
        <f t="shared" si="0"/>
        <v>92.436939461883412</v>
      </c>
      <c r="M4" s="1" t="str">
        <f t="shared" si="1"/>
        <v>Aaa/AAA</v>
      </c>
      <c r="N4" s="6">
        <f t="shared" si="2"/>
        <v>5.4000000000000003E-3</v>
      </c>
      <c r="O4" s="7"/>
      <c r="P4" s="8"/>
    </row>
    <row r="5" spans="1:16" x14ac:dyDescent="0.25">
      <c r="A5" s="9">
        <v>0.2</v>
      </c>
      <c r="B5" s="9">
        <v>0.64999899999999999</v>
      </c>
      <c r="C5" s="9" t="s">
        <v>77</v>
      </c>
      <c r="D5" s="10">
        <v>0.13950000000000001</v>
      </c>
      <c r="E5" s="34">
        <v>80</v>
      </c>
      <c r="F5" s="27"/>
      <c r="I5" s="1" t="s">
        <v>20</v>
      </c>
      <c r="J5" s="1">
        <v>-4.8</v>
      </c>
      <c r="K5" s="1">
        <v>56151.9</v>
      </c>
      <c r="L5" s="5">
        <f t="shared" si="0"/>
        <v>11698.3125</v>
      </c>
      <c r="M5" s="1" t="str">
        <f t="shared" si="1"/>
        <v>Aaa/AAA</v>
      </c>
      <c r="N5" s="6">
        <f t="shared" si="2"/>
        <v>5.4000000000000003E-3</v>
      </c>
      <c r="O5" s="7"/>
      <c r="P5" s="8"/>
    </row>
    <row r="6" spans="1:16" x14ac:dyDescent="0.25">
      <c r="A6" s="9">
        <v>0.65</v>
      </c>
      <c r="B6" s="9">
        <v>0.79999900000000002</v>
      </c>
      <c r="C6" s="9" t="s">
        <v>78</v>
      </c>
      <c r="D6" s="10">
        <v>0.10630000000000001</v>
      </c>
      <c r="E6" s="34">
        <v>65</v>
      </c>
      <c r="F6" s="27"/>
      <c r="I6" s="1" t="s">
        <v>22</v>
      </c>
      <c r="J6" s="1">
        <v>-58566</v>
      </c>
      <c r="K6" s="1">
        <v>391917</v>
      </c>
      <c r="L6" s="5">
        <f t="shared" si="0"/>
        <v>6.6918860772461839</v>
      </c>
      <c r="M6" s="1" t="str">
        <f t="shared" si="1"/>
        <v>Aa2/AA</v>
      </c>
      <c r="N6" s="6">
        <f t="shared" si="2"/>
        <v>7.1999999999999998E-3</v>
      </c>
      <c r="O6" s="7"/>
      <c r="P6" s="8"/>
    </row>
    <row r="7" spans="1:16" x14ac:dyDescent="0.25">
      <c r="A7" s="9">
        <v>0.8</v>
      </c>
      <c r="B7" s="9">
        <v>1.2499990000000001</v>
      </c>
      <c r="C7" s="9" t="s">
        <v>79</v>
      </c>
      <c r="D7" s="10">
        <v>8.6400000000000005E-2</v>
      </c>
      <c r="E7" s="34">
        <v>46.61</v>
      </c>
      <c r="F7" s="27"/>
      <c r="I7" s="1" t="s">
        <v>24</v>
      </c>
      <c r="J7" s="1">
        <v>-306.3</v>
      </c>
      <c r="K7" s="1">
        <v>231648.6</v>
      </c>
      <c r="L7" s="5">
        <f t="shared" si="0"/>
        <v>756.28011753183148</v>
      </c>
      <c r="M7" s="1" t="str">
        <f t="shared" si="1"/>
        <v>Aaa/AAA</v>
      </c>
      <c r="N7" s="6">
        <f t="shared" si="2"/>
        <v>5.4000000000000003E-3</v>
      </c>
      <c r="O7" s="7"/>
      <c r="P7" s="8"/>
    </row>
    <row r="8" spans="1:16" x14ac:dyDescent="0.25">
      <c r="A8" s="9">
        <v>1.25</v>
      </c>
      <c r="B8" s="9">
        <v>1.4999990000000001</v>
      </c>
      <c r="C8" s="9" t="s">
        <v>80</v>
      </c>
      <c r="D8" s="10">
        <v>4.3700000000000003E-2</v>
      </c>
      <c r="E8" s="34">
        <v>32.5</v>
      </c>
      <c r="F8" s="27"/>
      <c r="I8" s="1" t="s">
        <v>26</v>
      </c>
      <c r="J8" s="1">
        <v>-923</v>
      </c>
      <c r="K8" s="1">
        <v>26677</v>
      </c>
      <c r="L8" s="5">
        <f t="shared" si="0"/>
        <v>28.902491874322859</v>
      </c>
      <c r="M8" s="1" t="str">
        <f t="shared" si="1"/>
        <v>Aaa/AAA</v>
      </c>
      <c r="N8" s="6">
        <f t="shared" si="2"/>
        <v>5.4000000000000003E-3</v>
      </c>
      <c r="O8" s="7"/>
      <c r="P8" s="8"/>
    </row>
    <row r="9" spans="1:16" x14ac:dyDescent="0.25">
      <c r="A9" s="9">
        <v>1.5</v>
      </c>
      <c r="B9" s="9">
        <v>1.7499990000000001</v>
      </c>
      <c r="C9" s="9" t="s">
        <v>81</v>
      </c>
      <c r="D9" s="10">
        <v>3.5700000000000003E-2</v>
      </c>
      <c r="E9" s="34">
        <v>26.36</v>
      </c>
      <c r="F9" s="27"/>
      <c r="I9" s="1" t="s">
        <v>29</v>
      </c>
      <c r="J9" s="1">
        <v>-274</v>
      </c>
      <c r="K9" s="1">
        <v>50708.5</v>
      </c>
      <c r="L9" s="5">
        <f t="shared" si="0"/>
        <v>185.06751824817519</v>
      </c>
      <c r="M9" s="1" t="str">
        <f t="shared" si="1"/>
        <v>Aaa/AAA</v>
      </c>
      <c r="N9" s="6">
        <f t="shared" si="2"/>
        <v>5.4000000000000003E-3</v>
      </c>
      <c r="O9" s="7"/>
      <c r="P9" s="8"/>
    </row>
    <row r="10" spans="1:16" x14ac:dyDescent="0.25">
      <c r="A10" s="9">
        <v>1.75</v>
      </c>
      <c r="B10" s="9">
        <v>1.9999990000000001</v>
      </c>
      <c r="C10" s="9" t="s">
        <v>82</v>
      </c>
      <c r="D10" s="10">
        <v>2.98E-2</v>
      </c>
      <c r="E10" s="34">
        <v>26.36</v>
      </c>
      <c r="F10" s="27"/>
      <c r="I10" s="1" t="s">
        <v>30</v>
      </c>
      <c r="J10" s="1">
        <v>-140</v>
      </c>
      <c r="K10" s="1">
        <v>69980</v>
      </c>
      <c r="L10" s="5">
        <f t="shared" si="0"/>
        <v>499.85714285714283</v>
      </c>
      <c r="M10" s="1" t="str">
        <f t="shared" si="1"/>
        <v>Aaa/AAA</v>
      </c>
      <c r="N10" s="6">
        <f t="shared" si="2"/>
        <v>5.4000000000000003E-3</v>
      </c>
      <c r="O10" s="7"/>
      <c r="P10" s="8"/>
    </row>
    <row r="11" spans="1:16" x14ac:dyDescent="0.25">
      <c r="A11" s="9">
        <v>2</v>
      </c>
      <c r="B11" s="9">
        <v>2.2499999000000002</v>
      </c>
      <c r="C11" s="9" t="s">
        <v>83</v>
      </c>
      <c r="D11" s="10">
        <v>2.3800000000000002E-2</v>
      </c>
      <c r="E11" s="34">
        <v>26.36</v>
      </c>
      <c r="F11" s="27"/>
      <c r="I11" s="1" t="s">
        <v>32</v>
      </c>
      <c r="J11" s="1">
        <v>-204187.9</v>
      </c>
      <c r="K11" s="1">
        <v>589996.1</v>
      </c>
      <c r="L11" s="5">
        <f t="shared" si="0"/>
        <v>2.8894763107902084</v>
      </c>
      <c r="M11" s="1" t="str">
        <f t="shared" si="1"/>
        <v>Baa2/BBB</v>
      </c>
      <c r="N11" s="6">
        <f t="shared" si="2"/>
        <v>1.2699999999999999E-2</v>
      </c>
      <c r="O11" s="7"/>
      <c r="P11" s="8"/>
    </row>
    <row r="12" spans="1:16" x14ac:dyDescent="0.25">
      <c r="A12" s="9">
        <v>2.25</v>
      </c>
      <c r="B12" s="9">
        <v>2.4999899999999999</v>
      </c>
      <c r="C12" s="9" t="s">
        <v>84</v>
      </c>
      <c r="D12" s="10">
        <v>1.9800000000000002E-2</v>
      </c>
      <c r="E12" s="34">
        <v>19.28</v>
      </c>
      <c r="F12" s="27"/>
      <c r="I12" s="1" t="s">
        <v>35</v>
      </c>
      <c r="J12" s="1">
        <v>-254.9</v>
      </c>
      <c r="K12" s="1">
        <v>172855.2</v>
      </c>
      <c r="L12" s="5">
        <f t="shared" si="0"/>
        <v>678.12946253432722</v>
      </c>
      <c r="M12" s="1" t="str">
        <f t="shared" si="1"/>
        <v>Aaa/AAA</v>
      </c>
      <c r="N12" s="6">
        <f t="shared" si="2"/>
        <v>5.4000000000000003E-3</v>
      </c>
      <c r="O12" s="7"/>
      <c r="P12" s="8"/>
    </row>
    <row r="13" spans="1:16" x14ac:dyDescent="0.25">
      <c r="A13" s="9">
        <v>2.5</v>
      </c>
      <c r="B13" s="9">
        <v>2.9999989999999999</v>
      </c>
      <c r="C13" s="9" t="s">
        <v>85</v>
      </c>
      <c r="D13" s="10">
        <v>1.2699999999999999E-2</v>
      </c>
      <c r="E13" s="35"/>
      <c r="F13" s="27"/>
      <c r="I13" s="1" t="s">
        <v>41</v>
      </c>
      <c r="J13" s="1">
        <v>-15652</v>
      </c>
      <c r="K13" s="1">
        <v>210752.2</v>
      </c>
      <c r="L13" s="5">
        <f t="shared" si="0"/>
        <v>13.464873498594429</v>
      </c>
      <c r="M13" s="1" t="str">
        <f t="shared" si="1"/>
        <v>Aaa/AAA</v>
      </c>
      <c r="N13" s="6">
        <f t="shared" si="2"/>
        <v>5.4000000000000003E-3</v>
      </c>
      <c r="O13" s="7"/>
      <c r="P13" s="8"/>
    </row>
    <row r="14" spans="1:16" x14ac:dyDescent="0.25">
      <c r="A14" s="9">
        <v>3</v>
      </c>
      <c r="B14" s="9">
        <v>4.2499989999999999</v>
      </c>
      <c r="C14" s="9" t="s">
        <v>86</v>
      </c>
      <c r="D14" s="10">
        <v>1.1299999999999999E-2</v>
      </c>
      <c r="E14" s="34">
        <v>1.41</v>
      </c>
      <c r="F14" s="27"/>
      <c r="I14" s="1" t="s">
        <v>43</v>
      </c>
      <c r="J14" s="1">
        <v>-4426.7</v>
      </c>
      <c r="K14" s="1">
        <v>128077.9</v>
      </c>
      <c r="L14" s="5">
        <f t="shared" si="0"/>
        <v>28.933042672871441</v>
      </c>
      <c r="M14" s="1" t="str">
        <f t="shared" si="1"/>
        <v>Aaa/AAA</v>
      </c>
      <c r="N14" s="6">
        <f t="shared" si="2"/>
        <v>5.4000000000000003E-3</v>
      </c>
      <c r="O14" s="7"/>
      <c r="P14" s="8"/>
    </row>
    <row r="15" spans="1:16" x14ac:dyDescent="0.25">
      <c r="A15" s="9">
        <v>4.25</v>
      </c>
      <c r="B15" s="9">
        <v>5.4999989999999999</v>
      </c>
      <c r="C15" s="9" t="s">
        <v>87</v>
      </c>
      <c r="D15" s="10">
        <v>9.9000000000000008E-3</v>
      </c>
      <c r="E15" s="34">
        <v>0.53</v>
      </c>
      <c r="F15" s="27"/>
      <c r="I15" s="1" t="s">
        <v>45</v>
      </c>
      <c r="J15" s="1">
        <v>-1095</v>
      </c>
      <c r="K15" s="1">
        <v>130310</v>
      </c>
      <c r="L15" s="5">
        <f t="shared" si="0"/>
        <v>119.00456621004567</v>
      </c>
      <c r="M15" s="1" t="str">
        <f t="shared" si="1"/>
        <v>Aaa/AAA</v>
      </c>
      <c r="N15" s="6">
        <f t="shared" si="2"/>
        <v>5.4000000000000003E-3</v>
      </c>
      <c r="O15" s="7"/>
      <c r="P15" s="8"/>
    </row>
    <row r="16" spans="1:16" x14ac:dyDescent="0.25">
      <c r="A16" s="9">
        <v>5.5</v>
      </c>
      <c r="B16" s="9">
        <v>6.4999989999999999</v>
      </c>
      <c r="C16" s="9" t="s">
        <v>88</v>
      </c>
      <c r="D16" s="10">
        <v>8.9999999999999993E-3</v>
      </c>
      <c r="E16" s="35">
        <f>(E15+E17)/2</f>
        <v>0.40500000000000003</v>
      </c>
      <c r="F16" s="27"/>
      <c r="I16" s="1" t="s">
        <v>47</v>
      </c>
      <c r="J16" s="1">
        <v>-75645.2</v>
      </c>
      <c r="K16" s="1">
        <v>239130.5</v>
      </c>
      <c r="L16" s="5">
        <f t="shared" si="0"/>
        <v>3.1612118151581332</v>
      </c>
      <c r="M16" s="1" t="str">
        <f t="shared" si="1"/>
        <v>A3/A-</v>
      </c>
      <c r="N16" s="6">
        <f t="shared" si="2"/>
        <v>1.1299999999999999E-2</v>
      </c>
      <c r="O16" s="7"/>
      <c r="P16" s="8"/>
    </row>
    <row r="17" spans="1:17" x14ac:dyDescent="0.25">
      <c r="A17" s="9">
        <v>6.5</v>
      </c>
      <c r="B17" s="9">
        <v>8.4999990000000007</v>
      </c>
      <c r="C17" s="9" t="s">
        <v>89</v>
      </c>
      <c r="D17" s="10">
        <v>7.1999999999999998E-3</v>
      </c>
      <c r="E17" s="34">
        <v>0.28000000000000003</v>
      </c>
      <c r="F17" s="27"/>
      <c r="I17" s="1" t="s">
        <v>49</v>
      </c>
      <c r="J17" s="1">
        <v>-19186.400000000001</v>
      </c>
      <c r="K17" s="1">
        <v>588522</v>
      </c>
      <c r="L17" s="5">
        <f t="shared" si="0"/>
        <v>30.673914856356582</v>
      </c>
      <c r="M17" s="1" t="str">
        <f t="shared" si="1"/>
        <v>Aaa/AAA</v>
      </c>
      <c r="N17" s="6">
        <f t="shared" si="2"/>
        <v>5.4000000000000003E-3</v>
      </c>
      <c r="O17" s="7"/>
      <c r="P17" s="8"/>
    </row>
    <row r="18" spans="1:17" x14ac:dyDescent="0.25">
      <c r="A18" s="11">
        <v>8.5</v>
      </c>
      <c r="B18" s="9">
        <v>100000</v>
      </c>
      <c r="C18" s="9" t="s">
        <v>90</v>
      </c>
      <c r="D18" s="10">
        <v>5.4000000000000003E-3</v>
      </c>
      <c r="F18" s="27"/>
      <c r="I18" s="1" t="s">
        <v>51</v>
      </c>
      <c r="J18" s="1">
        <v>-56999.5</v>
      </c>
      <c r="K18" s="1">
        <v>235241.1</v>
      </c>
      <c r="L18" s="5">
        <f t="shared" si="0"/>
        <v>4.1270730445003903</v>
      </c>
      <c r="M18" s="1" t="str">
        <f t="shared" si="1"/>
        <v>A3/A-</v>
      </c>
      <c r="N18" s="6">
        <f t="shared" si="2"/>
        <v>1.1299999999999999E-2</v>
      </c>
      <c r="O18" s="7"/>
      <c r="P18" s="8"/>
    </row>
    <row r="19" spans="1:17" x14ac:dyDescent="0.25">
      <c r="I19" s="1" t="s">
        <v>53</v>
      </c>
      <c r="J19" s="1">
        <v>-129200</v>
      </c>
      <c r="K19" s="1">
        <v>563220</v>
      </c>
      <c r="L19" s="5">
        <f t="shared" si="0"/>
        <v>4.3592879256965942</v>
      </c>
      <c r="M19" s="1" t="str">
        <f t="shared" si="1"/>
        <v>A2/A</v>
      </c>
      <c r="N19" s="6">
        <f t="shared" si="2"/>
        <v>9.9000000000000008E-3</v>
      </c>
      <c r="O19" s="7"/>
      <c r="P19" s="8"/>
    </row>
    <row r="20" spans="1:17" x14ac:dyDescent="0.25">
      <c r="I20" s="1" t="s">
        <v>56</v>
      </c>
      <c r="J20" s="1">
        <v>-3338.3</v>
      </c>
      <c r="K20" s="1">
        <v>107472.8</v>
      </c>
      <c r="L20" s="5">
        <f t="shared" si="0"/>
        <v>32.1938711320133</v>
      </c>
      <c r="M20" s="1" t="str">
        <f t="shared" si="1"/>
        <v>Aaa/AAA</v>
      </c>
      <c r="N20" s="6">
        <f t="shared" si="2"/>
        <v>5.4000000000000003E-3</v>
      </c>
      <c r="O20" s="7"/>
      <c r="P20" s="8"/>
    </row>
    <row r="21" spans="1:17" x14ac:dyDescent="0.25">
      <c r="I21" s="1" t="s">
        <v>57</v>
      </c>
      <c r="J21" s="1">
        <v>-200</v>
      </c>
      <c r="K21" s="1">
        <v>367630</v>
      </c>
      <c r="L21" s="5">
        <f t="shared" si="0"/>
        <v>1838.15</v>
      </c>
      <c r="M21" s="1" t="str">
        <f t="shared" si="1"/>
        <v>Aaa/AAA</v>
      </c>
      <c r="N21" s="6">
        <f t="shared" si="2"/>
        <v>5.4000000000000003E-3</v>
      </c>
      <c r="O21" s="7"/>
      <c r="P21" s="8"/>
    </row>
    <row r="22" spans="1:17" ht="36" x14ac:dyDescent="0.55000000000000004">
      <c r="E22" s="36"/>
      <c r="I22" s="1" t="s">
        <v>58</v>
      </c>
      <c r="J22" s="1">
        <v>-53363.4</v>
      </c>
      <c r="K22" s="1">
        <v>464958.5</v>
      </c>
      <c r="L22" s="5">
        <f t="shared" si="0"/>
        <v>8.7130598874884289</v>
      </c>
      <c r="M22" s="1" t="str">
        <f t="shared" si="1"/>
        <v>Aaa/AAA</v>
      </c>
      <c r="N22" s="6">
        <f t="shared" si="2"/>
        <v>5.4000000000000003E-3</v>
      </c>
      <c r="O22" s="7"/>
      <c r="P22" s="8"/>
    </row>
    <row r="23" spans="1:17" x14ac:dyDescent="0.25">
      <c r="I23" s="1" t="s">
        <v>60</v>
      </c>
      <c r="J23" s="1">
        <v>-47324.6</v>
      </c>
      <c r="K23" s="1">
        <v>134310.6</v>
      </c>
      <c r="L23" s="5">
        <f t="shared" si="0"/>
        <v>2.8380715315079263</v>
      </c>
      <c r="M23" s="1" t="str">
        <f t="shared" si="1"/>
        <v>Baa2/BBB</v>
      </c>
      <c r="N23" s="6">
        <f t="shared" si="2"/>
        <v>1.2699999999999999E-2</v>
      </c>
      <c r="O23" s="7"/>
      <c r="P23" s="8"/>
    </row>
    <row r="24" spans="1:17" x14ac:dyDescent="0.25">
      <c r="I24" s="1" t="s">
        <v>62</v>
      </c>
      <c r="J24" s="1">
        <v>-1999</v>
      </c>
      <c r="K24" s="1">
        <v>141696</v>
      </c>
      <c r="L24" s="5">
        <f t="shared" si="0"/>
        <v>70.883441720860432</v>
      </c>
      <c r="M24" s="1" t="str">
        <f t="shared" si="1"/>
        <v>Aaa/AAA</v>
      </c>
      <c r="N24" s="6">
        <f t="shared" si="2"/>
        <v>5.4000000000000003E-3</v>
      </c>
      <c r="O24" s="7"/>
      <c r="P24" s="8"/>
    </row>
    <row r="25" spans="1:17" x14ac:dyDescent="0.25">
      <c r="A25" s="2"/>
    </row>
    <row r="26" spans="1:17" x14ac:dyDescent="0.25">
      <c r="A26" s="168"/>
      <c r="B26" s="168"/>
      <c r="C26" s="168"/>
      <c r="D26" s="15"/>
      <c r="E26" s="15"/>
      <c r="F26" s="15"/>
    </row>
    <row r="27" spans="1:17" x14ac:dyDescent="0.25">
      <c r="Q27" s="6"/>
    </row>
    <row r="28" spans="1:17" x14ac:dyDescent="0.25">
      <c r="A28" s="13"/>
      <c r="G28" s="40"/>
      <c r="H28" s="37"/>
      <c r="I28" s="8"/>
      <c r="J28" s="8"/>
      <c r="L28" s="12"/>
      <c r="M28" s="7"/>
      <c r="N28" s="6"/>
      <c r="O28" s="13"/>
    </row>
    <row r="29" spans="1:17" x14ac:dyDescent="0.25">
      <c r="A29" s="13"/>
      <c r="D29" s="28"/>
      <c r="E29" s="28"/>
      <c r="F29" s="12"/>
      <c r="G29" s="40"/>
      <c r="H29" s="38"/>
      <c r="I29" s="8"/>
      <c r="J29" s="8"/>
      <c r="L29" s="12"/>
      <c r="M29" s="7"/>
      <c r="N29" s="6"/>
      <c r="O29" s="13"/>
    </row>
    <row r="30" spans="1:17" x14ac:dyDescent="0.25">
      <c r="A30" s="13"/>
      <c r="D30" s="28"/>
      <c r="E30" s="28"/>
      <c r="F30" s="12"/>
      <c r="G30" s="40"/>
      <c r="H30" s="38"/>
      <c r="I30" s="8"/>
      <c r="J30" s="8"/>
      <c r="L30" s="12"/>
      <c r="M30" s="7"/>
      <c r="N30" s="6"/>
      <c r="O30" s="13"/>
    </row>
    <row r="31" spans="1:17" s="16" customFormat="1" x14ac:dyDescent="0.25">
      <c r="A31" s="21"/>
      <c r="D31" s="29"/>
      <c r="E31" s="29"/>
      <c r="F31" s="20"/>
      <c r="G31" s="55"/>
      <c r="H31" s="56"/>
      <c r="I31" s="17"/>
      <c r="J31" s="17"/>
      <c r="L31" s="20"/>
      <c r="M31" s="18"/>
      <c r="N31" s="19"/>
      <c r="O31" s="21"/>
      <c r="Q31" s="21"/>
    </row>
    <row r="32" spans="1:17" s="22" customFormat="1" x14ac:dyDescent="0.25">
      <c r="A32" s="32"/>
      <c r="D32" s="33"/>
      <c r="E32" s="33"/>
      <c r="F32" s="24"/>
      <c r="G32" s="9"/>
      <c r="H32" s="58"/>
      <c r="I32" s="23"/>
      <c r="J32" s="23"/>
      <c r="L32" s="24"/>
      <c r="M32" s="25"/>
      <c r="N32" s="26"/>
      <c r="O32" s="32"/>
    </row>
    <row r="33" spans="1:18" s="22" customFormat="1" x14ac:dyDescent="0.25">
      <c r="A33" s="32"/>
      <c r="D33" s="33"/>
      <c r="E33" s="33"/>
      <c r="F33" s="24"/>
      <c r="G33" s="57"/>
      <c r="H33" s="58"/>
      <c r="I33" s="23"/>
      <c r="J33" s="23"/>
      <c r="L33" s="24"/>
      <c r="M33" s="25"/>
      <c r="N33" s="26"/>
      <c r="O33" s="32"/>
      <c r="Q33" s="59"/>
    </row>
    <row r="34" spans="1:18" x14ac:dyDescent="0.25">
      <c r="A34" s="13"/>
      <c r="D34" s="28"/>
      <c r="E34" s="28"/>
      <c r="F34" s="12"/>
      <c r="G34" s="9"/>
      <c r="H34" s="39"/>
      <c r="I34" s="8"/>
      <c r="J34" s="8"/>
      <c r="L34" s="12"/>
      <c r="M34" s="7"/>
      <c r="N34" s="6"/>
      <c r="O34" s="13"/>
    </row>
    <row r="35" spans="1:18" x14ac:dyDescent="0.25">
      <c r="A35" s="13"/>
      <c r="D35" s="28"/>
      <c r="E35" s="28"/>
      <c r="F35" s="12"/>
      <c r="G35" s="9"/>
      <c r="H35" s="39"/>
      <c r="I35" s="8"/>
      <c r="J35" s="8"/>
      <c r="L35" s="12"/>
      <c r="M35" s="7"/>
      <c r="N35" s="6"/>
      <c r="O35" s="13"/>
      <c r="Q35" s="5"/>
    </row>
    <row r="36" spans="1:18" x14ac:dyDescent="0.25">
      <c r="A36" s="13"/>
      <c r="D36" s="28"/>
      <c r="E36" s="28"/>
      <c r="F36" s="12"/>
      <c r="G36" s="9"/>
      <c r="H36" s="39"/>
      <c r="I36" s="8"/>
      <c r="J36" s="8"/>
      <c r="L36" s="12"/>
      <c r="M36" s="7"/>
      <c r="N36" s="6"/>
      <c r="O36" s="13"/>
      <c r="Q36" s="14"/>
    </row>
    <row r="37" spans="1:18" x14ac:dyDescent="0.25">
      <c r="A37" s="13"/>
      <c r="D37" s="28"/>
      <c r="E37" s="28"/>
      <c r="F37" s="12"/>
      <c r="G37" s="9"/>
      <c r="H37" s="39"/>
      <c r="I37" s="8"/>
      <c r="J37" s="8"/>
      <c r="L37" s="12"/>
      <c r="M37" s="7"/>
      <c r="N37" s="6"/>
      <c r="O37" s="13"/>
    </row>
    <row r="39" spans="1:18" x14ac:dyDescent="0.25">
      <c r="A39" s="2"/>
    </row>
    <row r="41" spans="1:18" x14ac:dyDescent="0.25">
      <c r="A41" s="13"/>
      <c r="G41" s="40"/>
      <c r="H41" s="37"/>
      <c r="I41" s="8"/>
      <c r="J41" s="8"/>
      <c r="L41" s="30"/>
      <c r="M41" s="12"/>
      <c r="N41" s="7"/>
      <c r="O41" s="13"/>
      <c r="P41" s="13"/>
    </row>
    <row r="42" spans="1:18" x14ac:dyDescent="0.25">
      <c r="A42" s="13"/>
      <c r="D42" s="28"/>
      <c r="E42" s="28"/>
      <c r="F42" s="12"/>
      <c r="G42" s="40"/>
      <c r="H42" s="38"/>
      <c r="I42" s="8"/>
      <c r="J42" s="8"/>
      <c r="L42" s="30"/>
      <c r="M42" s="12"/>
      <c r="N42" s="7"/>
      <c r="O42" s="13"/>
      <c r="P42" s="13"/>
    </row>
    <row r="43" spans="1:18" s="47" customFormat="1" x14ac:dyDescent="0.25">
      <c r="A43" s="42"/>
      <c r="D43" s="48"/>
      <c r="E43" s="48"/>
      <c r="F43" s="49"/>
      <c r="G43" s="93"/>
      <c r="H43" s="94"/>
      <c r="I43" s="52"/>
      <c r="J43" s="52"/>
      <c r="K43" s="1"/>
      <c r="L43" s="53"/>
      <c r="M43" s="49"/>
      <c r="N43" s="54"/>
      <c r="O43" s="42"/>
      <c r="P43" s="42"/>
    </row>
    <row r="44" spans="1:18" s="16" customFormat="1" x14ac:dyDescent="0.25">
      <c r="A44" s="21"/>
      <c r="D44" s="29"/>
      <c r="E44" s="29"/>
      <c r="F44" s="20"/>
      <c r="G44" s="55"/>
      <c r="H44" s="56"/>
      <c r="I44" s="17"/>
      <c r="J44" s="17"/>
      <c r="K44" s="1"/>
      <c r="L44" s="31"/>
      <c r="M44" s="20"/>
      <c r="N44" s="18"/>
      <c r="O44" s="21"/>
      <c r="P44" s="21"/>
      <c r="R44" s="21"/>
    </row>
    <row r="45" spans="1:18" s="47" customFormat="1" x14ac:dyDescent="0.25">
      <c r="A45" s="42"/>
      <c r="D45" s="48"/>
      <c r="E45" s="48"/>
      <c r="F45" s="49"/>
      <c r="G45" s="50"/>
      <c r="H45" s="51"/>
      <c r="I45" s="52"/>
      <c r="J45" s="52"/>
      <c r="K45" s="1"/>
      <c r="L45" s="53"/>
      <c r="M45" s="49"/>
      <c r="N45" s="54"/>
      <c r="O45" s="42"/>
      <c r="P45" s="42"/>
    </row>
    <row r="46" spans="1:18" s="47" customFormat="1" x14ac:dyDescent="0.25">
      <c r="A46" s="42"/>
      <c r="D46" s="48"/>
      <c r="E46" s="48"/>
      <c r="F46" s="49"/>
      <c r="G46" s="50"/>
      <c r="H46" s="51"/>
      <c r="I46" s="52"/>
      <c r="J46" s="52"/>
      <c r="K46" s="1"/>
      <c r="L46" s="53"/>
      <c r="M46" s="49"/>
      <c r="N46" s="54"/>
      <c r="O46" s="42"/>
      <c r="P46" s="42"/>
      <c r="R46" s="95"/>
    </row>
    <row r="47" spans="1:18" s="47" customFormat="1" x14ac:dyDescent="0.25">
      <c r="A47" s="42"/>
      <c r="D47" s="48"/>
      <c r="E47" s="48"/>
      <c r="F47" s="49"/>
      <c r="G47" s="50"/>
      <c r="H47" s="51"/>
      <c r="I47" s="52"/>
      <c r="J47" s="52"/>
      <c r="K47" s="1"/>
      <c r="L47" s="53"/>
      <c r="M47" s="49"/>
      <c r="N47" s="54"/>
      <c r="O47" s="42"/>
      <c r="P47" s="42"/>
    </row>
    <row r="48" spans="1:18" x14ac:dyDescent="0.25">
      <c r="A48" s="13"/>
      <c r="D48" s="28"/>
      <c r="E48" s="28"/>
      <c r="F48" s="12"/>
      <c r="G48" s="9"/>
      <c r="H48" s="39"/>
      <c r="I48" s="8"/>
      <c r="J48" s="8"/>
      <c r="L48" s="30"/>
      <c r="M48" s="12"/>
      <c r="N48" s="7"/>
      <c r="O48" s="13"/>
      <c r="P48" s="13"/>
      <c r="R48" s="5"/>
    </row>
    <row r="49" spans="1:18" x14ac:dyDescent="0.25">
      <c r="A49" s="13"/>
      <c r="D49" s="28"/>
      <c r="E49" s="28"/>
      <c r="F49" s="12"/>
      <c r="G49" s="9"/>
      <c r="H49" s="39"/>
      <c r="I49" s="8"/>
      <c r="J49" s="8"/>
      <c r="L49" s="30"/>
      <c r="M49" s="12"/>
      <c r="N49" s="7"/>
      <c r="O49" s="13"/>
      <c r="P49" s="13"/>
      <c r="R49" s="14"/>
    </row>
    <row r="50" spans="1:18" x14ac:dyDescent="0.25">
      <c r="A50" s="13"/>
      <c r="D50" s="28"/>
      <c r="E50" s="28"/>
      <c r="F50" s="12"/>
      <c r="G50" s="9"/>
      <c r="H50" s="39"/>
      <c r="I50" s="8"/>
      <c r="J50" s="8"/>
      <c r="L50" s="30"/>
      <c r="M50" s="12"/>
      <c r="N50" s="7"/>
      <c r="O50" s="13"/>
      <c r="P50" s="13"/>
    </row>
    <row r="52" spans="1:18" x14ac:dyDescent="0.25">
      <c r="R52" s="14"/>
    </row>
    <row r="53" spans="1:18" x14ac:dyDescent="0.25">
      <c r="D53" s="6"/>
    </row>
    <row r="54" spans="1:18" x14ac:dyDescent="0.25">
      <c r="H54" s="13"/>
    </row>
    <row r="56" spans="1:18" x14ac:dyDescent="0.25">
      <c r="A56" s="13"/>
      <c r="B56" s="12"/>
      <c r="D56" s="5"/>
      <c r="E56" s="13"/>
      <c r="H56" s="13"/>
      <c r="I56" s="13"/>
    </row>
    <row r="57" spans="1:18" x14ac:dyDescent="0.25">
      <c r="A57" s="13"/>
      <c r="B57" s="13"/>
      <c r="D57" s="5"/>
      <c r="E57" s="13"/>
      <c r="G57" s="13"/>
      <c r="H57" s="13"/>
    </row>
    <row r="58" spans="1:18" x14ac:dyDescent="0.25">
      <c r="A58" s="44"/>
      <c r="B58" s="44"/>
      <c r="C58" s="44"/>
      <c r="D58" s="44"/>
      <c r="E58" s="44"/>
      <c r="F58" s="44"/>
      <c r="G58" s="44"/>
      <c r="H58" s="44"/>
      <c r="I58" s="44"/>
    </row>
    <row r="59" spans="1:18" x14ac:dyDescent="0.25">
      <c r="A59" s="107"/>
      <c r="B59" s="62"/>
      <c r="C59" s="62"/>
      <c r="D59" s="61"/>
      <c r="E59" s="62"/>
      <c r="F59" s="41"/>
      <c r="G59" s="9"/>
      <c r="H59" s="62"/>
      <c r="I59" s="62"/>
    </row>
    <row r="60" spans="1:18" x14ac:dyDescent="0.25">
      <c r="A60" s="107"/>
      <c r="B60" s="61"/>
      <c r="C60" s="62"/>
      <c r="D60" s="61"/>
      <c r="E60" s="62"/>
      <c r="F60" s="41"/>
      <c r="G60" s="63"/>
      <c r="H60" s="62"/>
      <c r="I60" s="62"/>
    </row>
    <row r="61" spans="1:18" x14ac:dyDescent="0.25">
      <c r="A61" s="107"/>
      <c r="B61" s="61"/>
      <c r="C61" s="62"/>
      <c r="D61" s="61"/>
      <c r="E61" s="62"/>
      <c r="F61" s="41"/>
      <c r="G61" s="63"/>
      <c r="H61" s="62"/>
      <c r="I61" s="62"/>
    </row>
    <row r="62" spans="1:18" x14ac:dyDescent="0.25">
      <c r="A62" s="107"/>
      <c r="B62" s="61"/>
      <c r="C62" s="62"/>
      <c r="D62" s="61"/>
      <c r="E62" s="62"/>
      <c r="F62" s="9"/>
      <c r="G62" s="9"/>
      <c r="H62" s="62"/>
      <c r="I62" s="62"/>
    </row>
    <row r="63" spans="1:18" s="45" customFormat="1" x14ac:dyDescent="0.25">
      <c r="A63" s="105"/>
      <c r="B63" s="106"/>
      <c r="C63" s="43"/>
      <c r="D63" s="106"/>
      <c r="E63" s="43"/>
      <c r="F63" s="57"/>
      <c r="G63" s="57"/>
      <c r="H63" s="43"/>
      <c r="I63" s="43"/>
      <c r="J63" s="111"/>
      <c r="K63" s="43"/>
    </row>
    <row r="64" spans="1:18" s="110" customFormat="1" x14ac:dyDescent="0.25">
      <c r="A64" s="107"/>
      <c r="B64" s="108"/>
      <c r="C64" s="109"/>
      <c r="D64" s="108"/>
      <c r="E64" s="109"/>
      <c r="F64" s="50"/>
      <c r="G64" s="9"/>
      <c r="H64" s="62"/>
      <c r="I64" s="62"/>
      <c r="J64" s="112"/>
      <c r="K64" s="96"/>
    </row>
    <row r="65" spans="1:11" s="44" customFormat="1" x14ac:dyDescent="0.25">
      <c r="A65" s="107"/>
      <c r="B65" s="61"/>
      <c r="C65" s="62"/>
      <c r="D65" s="61"/>
      <c r="E65" s="62"/>
      <c r="F65" s="9"/>
      <c r="G65" s="9"/>
      <c r="H65" s="62"/>
      <c r="I65" s="62"/>
      <c r="J65" s="113"/>
      <c r="K65" s="61"/>
    </row>
    <row r="66" spans="1:11" s="44" customFormat="1" x14ac:dyDescent="0.25">
      <c r="A66" s="107"/>
      <c r="B66" s="61"/>
      <c r="C66" s="62"/>
      <c r="D66" s="61"/>
      <c r="E66" s="62"/>
      <c r="F66" s="9"/>
      <c r="G66" s="9"/>
      <c r="H66" s="62"/>
      <c r="I66" s="62"/>
      <c r="J66" s="113"/>
    </row>
    <row r="67" spans="1:11" x14ac:dyDescent="0.25">
      <c r="A67" s="107"/>
      <c r="B67" s="61"/>
      <c r="C67" s="62"/>
      <c r="D67" s="61"/>
      <c r="E67" s="62"/>
      <c r="F67" s="9"/>
      <c r="G67" s="9"/>
      <c r="H67" s="62"/>
      <c r="I67" s="62"/>
      <c r="J67" s="114"/>
      <c r="K67" s="104"/>
    </row>
    <row r="68" spans="1:11" x14ac:dyDescent="0.25">
      <c r="A68" s="107"/>
      <c r="B68" s="61"/>
      <c r="C68" s="62"/>
      <c r="D68" s="61"/>
      <c r="E68" s="62"/>
      <c r="F68" s="9"/>
      <c r="G68" s="9"/>
      <c r="H68" s="62"/>
      <c r="I68" s="62"/>
      <c r="J68" s="113"/>
      <c r="K68" s="60"/>
    </row>
  </sheetData>
  <mergeCells count="1">
    <mergeCell ref="A26:C2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3E28D-1585-4DC3-86AD-97305E2F4E05}">
  <dimension ref="B1:AF51"/>
  <sheetViews>
    <sheetView tabSelected="1" topLeftCell="G31" workbookViewId="0">
      <selection activeCell="J11" sqref="J11"/>
    </sheetView>
  </sheetViews>
  <sheetFormatPr defaultRowHeight="18.75" x14ac:dyDescent="0.3"/>
  <cols>
    <col min="1" max="1" width="9.140625" style="67"/>
    <col min="2" max="2" width="17.28515625" style="67" bestFit="1" customWidth="1"/>
    <col min="3" max="3" width="12.85546875" style="67" bestFit="1" customWidth="1"/>
    <col min="4" max="5" width="12.42578125" style="67" bestFit="1" customWidth="1"/>
    <col min="6" max="6" width="12.42578125" style="67" customWidth="1"/>
    <col min="7" max="7" width="25.28515625" style="67" bestFit="1" customWidth="1"/>
    <col min="8" max="9" width="13.85546875" style="67" bestFit="1" customWidth="1"/>
    <col min="10" max="10" width="25.28515625" style="67" bestFit="1" customWidth="1"/>
    <col min="11" max="11" width="9.42578125" style="67" customWidth="1"/>
    <col min="12" max="12" width="18" style="67" bestFit="1" customWidth="1"/>
    <col min="13" max="13" width="13.42578125" style="67" bestFit="1" customWidth="1"/>
    <col min="14" max="14" width="25.28515625" style="67" bestFit="1" customWidth="1"/>
    <col min="15" max="15" width="15.5703125" style="67" bestFit="1" customWidth="1"/>
    <col min="16" max="16" width="9.140625" style="64"/>
    <col min="17" max="17" width="12" style="67" bestFit="1" customWidth="1"/>
    <col min="18" max="18" width="12.42578125" style="67" bestFit="1" customWidth="1"/>
    <col min="19" max="19" width="23.140625" style="67" bestFit="1" customWidth="1"/>
    <col min="20" max="20" width="19.140625" style="67" bestFit="1" customWidth="1"/>
    <col min="21" max="21" width="9.140625" style="67"/>
    <col min="22" max="22" width="12" style="67" bestFit="1" customWidth="1"/>
    <col min="23" max="23" width="9.140625" style="67"/>
    <col min="24" max="24" width="12" style="67" bestFit="1" customWidth="1"/>
    <col min="25" max="31" width="9.140625" style="67"/>
    <col min="32" max="32" width="15.5703125" style="67" bestFit="1" customWidth="1"/>
    <col min="33" max="16384" width="9.140625" style="67"/>
  </cols>
  <sheetData>
    <row r="1" spans="2:32" x14ac:dyDescent="0.3">
      <c r="G1" s="77" t="s">
        <v>110</v>
      </c>
      <c r="H1" s="78">
        <v>1117445.19</v>
      </c>
    </row>
    <row r="2" spans="2:32" s="64" customFormat="1" x14ac:dyDescent="0.3">
      <c r="G2" s="77" t="s">
        <v>113</v>
      </c>
      <c r="H2" s="117">
        <v>6.6799999999999998E-2</v>
      </c>
      <c r="I2" s="78"/>
      <c r="J2" s="78"/>
      <c r="K2" s="78"/>
      <c r="L2" s="78"/>
      <c r="M2" s="78"/>
      <c r="N2" s="78"/>
    </row>
    <row r="3" spans="2:32" x14ac:dyDescent="0.3">
      <c r="B3" s="97" t="s">
        <v>91</v>
      </c>
      <c r="C3" s="97" t="s">
        <v>73</v>
      </c>
      <c r="D3" s="97" t="s">
        <v>74</v>
      </c>
      <c r="E3" s="97" t="s">
        <v>75</v>
      </c>
      <c r="F3" s="97"/>
      <c r="G3" s="67" t="s">
        <v>121</v>
      </c>
      <c r="H3" s="118">
        <v>1.4E-2</v>
      </c>
      <c r="I3" s="78"/>
      <c r="J3" s="78"/>
      <c r="K3" s="78"/>
      <c r="L3" s="78"/>
      <c r="M3" s="78"/>
      <c r="N3" s="78"/>
    </row>
    <row r="4" spans="2:32" x14ac:dyDescent="0.3">
      <c r="B4" s="75">
        <v>-100000</v>
      </c>
      <c r="C4" s="75">
        <v>0.19999900000000001</v>
      </c>
      <c r="D4" s="75" t="s">
        <v>76</v>
      </c>
      <c r="E4" s="76">
        <v>0.186</v>
      </c>
      <c r="F4" s="76"/>
      <c r="G4" s="65" t="s">
        <v>103</v>
      </c>
      <c r="H4" s="66">
        <f>H7/H1</f>
        <v>0.19094556217115224</v>
      </c>
      <c r="I4" s="69"/>
      <c r="J4" s="67" t="s">
        <v>148</v>
      </c>
      <c r="K4" s="144"/>
      <c r="L4" s="128">
        <v>0.1</v>
      </c>
      <c r="M4" s="128"/>
      <c r="O4" s="130">
        <v>0.2</v>
      </c>
      <c r="P4" s="134"/>
      <c r="Q4" s="139">
        <v>0.3</v>
      </c>
      <c r="R4" s="139"/>
      <c r="S4" s="116"/>
      <c r="T4" s="119"/>
      <c r="U4" s="79"/>
      <c r="V4" s="169">
        <v>0.4</v>
      </c>
      <c r="W4" s="169"/>
      <c r="X4" s="169"/>
      <c r="Y4" s="69"/>
      <c r="Z4" s="170">
        <v>0.5</v>
      </c>
      <c r="AA4" s="170"/>
      <c r="AB4" s="69"/>
      <c r="AC4" s="171">
        <v>0.6</v>
      </c>
      <c r="AD4" s="172"/>
      <c r="AF4" s="131">
        <v>0.7</v>
      </c>
    </row>
    <row r="5" spans="2:32" x14ac:dyDescent="0.3">
      <c r="B5" s="75">
        <v>0.2</v>
      </c>
      <c r="C5" s="75">
        <v>0.64999899999999999</v>
      </c>
      <c r="D5" s="75" t="s">
        <v>77</v>
      </c>
      <c r="E5" s="76">
        <v>0.13950000000000001</v>
      </c>
      <c r="F5" s="76"/>
      <c r="G5" s="69"/>
      <c r="H5" s="69"/>
      <c r="I5" s="66"/>
      <c r="K5" s="145"/>
      <c r="L5" s="84" t="s">
        <v>111</v>
      </c>
      <c r="M5" s="84" t="s">
        <v>112</v>
      </c>
      <c r="O5" s="84" t="s">
        <v>111</v>
      </c>
      <c r="Q5" s="84" t="s">
        <v>111</v>
      </c>
      <c r="R5" s="84" t="s">
        <v>112</v>
      </c>
      <c r="S5" s="84" t="s">
        <v>118</v>
      </c>
      <c r="T5" s="120" t="s">
        <v>119</v>
      </c>
      <c r="U5" s="68"/>
      <c r="V5" s="84" t="s">
        <v>111</v>
      </c>
      <c r="W5" s="84" t="s">
        <v>112</v>
      </c>
      <c r="X5" s="84" t="s">
        <v>118</v>
      </c>
      <c r="Y5" s="68"/>
      <c r="Z5" s="84" t="s">
        <v>111</v>
      </c>
      <c r="AA5" s="84" t="s">
        <v>112</v>
      </c>
      <c r="AB5" s="69"/>
      <c r="AC5" s="84" t="s">
        <v>111</v>
      </c>
      <c r="AD5" s="84" t="s">
        <v>112</v>
      </c>
      <c r="AF5" s="84" t="s">
        <v>111</v>
      </c>
    </row>
    <row r="6" spans="2:32" x14ac:dyDescent="0.3">
      <c r="B6" s="75">
        <v>0.65</v>
      </c>
      <c r="C6" s="75">
        <v>0.79999900000000002</v>
      </c>
      <c r="D6" s="75" t="s">
        <v>78</v>
      </c>
      <c r="E6" s="76">
        <v>0.10630000000000001</v>
      </c>
      <c r="F6" s="76"/>
      <c r="G6" s="65" t="s">
        <v>104</v>
      </c>
      <c r="H6" s="70">
        <f>H4/(1-H4)</f>
        <v>0.23601077164049375</v>
      </c>
      <c r="I6" s="70"/>
      <c r="J6" s="67" t="s">
        <v>122</v>
      </c>
      <c r="K6" s="146"/>
      <c r="L6" s="85">
        <f>L4/(1-L4)</f>
        <v>0.11111111111111112</v>
      </c>
      <c r="M6" s="85">
        <f>L6</f>
        <v>0.11111111111111112</v>
      </c>
      <c r="O6" s="85">
        <f>O4/(1-O4)</f>
        <v>0.25</v>
      </c>
      <c r="Q6" s="85">
        <f>Q4/(1-Q4)</f>
        <v>0.4285714285714286</v>
      </c>
      <c r="R6" s="85">
        <f>Q6</f>
        <v>0.4285714285714286</v>
      </c>
      <c r="S6" s="85">
        <f>R6</f>
        <v>0.4285714285714286</v>
      </c>
      <c r="T6" s="121">
        <f>S6</f>
        <v>0.4285714285714286</v>
      </c>
      <c r="U6" s="70"/>
      <c r="V6" s="85">
        <f>V4/(1-V4)</f>
        <v>0.66666666666666674</v>
      </c>
      <c r="W6" s="86">
        <v>0.67</v>
      </c>
      <c r="X6" s="86">
        <v>0.67</v>
      </c>
      <c r="Y6" s="71"/>
      <c r="Z6" s="86">
        <f>Z4/(1-Z4)</f>
        <v>1</v>
      </c>
      <c r="AA6" s="86">
        <v>1</v>
      </c>
      <c r="AB6" s="71"/>
      <c r="AC6" s="86">
        <f>AC4/(1-AC4)</f>
        <v>1.4999999999999998</v>
      </c>
      <c r="AD6" s="86">
        <f>AC6</f>
        <v>1.4999999999999998</v>
      </c>
      <c r="AF6" s="132">
        <f>AC6</f>
        <v>1.4999999999999998</v>
      </c>
    </row>
    <row r="7" spans="2:32" x14ac:dyDescent="0.3">
      <c r="B7" s="75">
        <v>0.8</v>
      </c>
      <c r="C7" s="75">
        <v>1.2499990000000001</v>
      </c>
      <c r="D7" s="75" t="s">
        <v>79</v>
      </c>
      <c r="E7" s="76">
        <v>8.6400000000000005E-2</v>
      </c>
      <c r="F7" s="76"/>
      <c r="G7" s="65" t="s">
        <v>105</v>
      </c>
      <c r="H7" s="72">
        <v>213371.2</v>
      </c>
      <c r="I7" s="72"/>
      <c r="J7" s="67" t="s">
        <v>105</v>
      </c>
      <c r="K7" s="147"/>
      <c r="L7" s="87">
        <f>L4*H1</f>
        <v>111744.519</v>
      </c>
      <c r="M7" s="88">
        <f>L7</f>
        <v>111744.519</v>
      </c>
      <c r="O7" s="136">
        <f>O4*H1</f>
        <v>223489.038</v>
      </c>
      <c r="Q7" s="87">
        <f>Q4*H1</f>
        <v>335233.55699999997</v>
      </c>
      <c r="R7" s="87">
        <f>Q4*H1</f>
        <v>335233.55699999997</v>
      </c>
      <c r="S7" s="87">
        <f>R7</f>
        <v>335233.55699999997</v>
      </c>
      <c r="T7" s="122">
        <f>S7</f>
        <v>335233.55699999997</v>
      </c>
      <c r="U7" s="73"/>
      <c r="V7" s="87">
        <f>V4*H1</f>
        <v>446978.076</v>
      </c>
      <c r="W7" s="87">
        <f>V4*H1</f>
        <v>446978.076</v>
      </c>
      <c r="X7" s="87">
        <f>V4*H1</f>
        <v>446978.076</v>
      </c>
      <c r="Y7" s="73"/>
      <c r="Z7" s="87">
        <f>Z4*H1</f>
        <v>558722.59499999997</v>
      </c>
      <c r="AA7" s="87">
        <f>Z4*H1</f>
        <v>558722.59499999997</v>
      </c>
      <c r="AB7" s="73"/>
      <c r="AC7" s="87">
        <f>AC4*H1</f>
        <v>670467.11399999994</v>
      </c>
      <c r="AD7" s="87">
        <f>AC7</f>
        <v>670467.11399999994</v>
      </c>
      <c r="AF7" s="87">
        <f>AF4*H1</f>
        <v>782211.63299999991</v>
      </c>
    </row>
    <row r="8" spans="2:32" x14ac:dyDescent="0.3">
      <c r="B8" s="75">
        <v>1.25</v>
      </c>
      <c r="C8" s="75">
        <v>1.4999990000000001</v>
      </c>
      <c r="D8" s="75" t="s">
        <v>80</v>
      </c>
      <c r="E8" s="76">
        <v>4.3700000000000003E-2</v>
      </c>
      <c r="F8" s="76"/>
      <c r="G8" s="65" t="s">
        <v>94</v>
      </c>
      <c r="H8" s="72">
        <v>68980.100000000006</v>
      </c>
      <c r="I8" s="72"/>
      <c r="J8" s="67" t="s">
        <v>123</v>
      </c>
      <c r="K8" s="147"/>
      <c r="L8" s="88">
        <v>68980.100000000006</v>
      </c>
      <c r="M8" s="88">
        <f>L8</f>
        <v>68980.100000000006</v>
      </c>
      <c r="O8" s="136">
        <f>M8</f>
        <v>68980.100000000006</v>
      </c>
      <c r="Q8" s="88">
        <v>68980.100000000006</v>
      </c>
      <c r="R8" s="88">
        <v>68981.100000000006</v>
      </c>
      <c r="S8" s="88">
        <f>R8</f>
        <v>68981.100000000006</v>
      </c>
      <c r="T8" s="123">
        <f>S8</f>
        <v>68981.100000000006</v>
      </c>
      <c r="U8" s="72"/>
      <c r="V8" s="88">
        <v>68982.100000000006</v>
      </c>
      <c r="W8" s="88">
        <v>68982.100000000006</v>
      </c>
      <c r="X8" s="88">
        <v>68982.100000000006</v>
      </c>
      <c r="Y8" s="72"/>
      <c r="Z8" s="88">
        <v>68983.100000000006</v>
      </c>
      <c r="AA8" s="88">
        <v>68984.100000000006</v>
      </c>
      <c r="AB8" s="72"/>
      <c r="AC8" s="88">
        <f>AA8</f>
        <v>68984.100000000006</v>
      </c>
      <c r="AD8" s="88">
        <f>AC8</f>
        <v>68984.100000000006</v>
      </c>
      <c r="AF8" s="88">
        <f>AD8</f>
        <v>68984.100000000006</v>
      </c>
    </row>
    <row r="9" spans="2:32" x14ac:dyDescent="0.3">
      <c r="B9" s="75">
        <v>1.5</v>
      </c>
      <c r="C9" s="75">
        <v>1.7499990000000001</v>
      </c>
      <c r="D9" s="75" t="s">
        <v>81</v>
      </c>
      <c r="E9" s="76">
        <v>3.5700000000000003E-2</v>
      </c>
      <c r="F9" s="76"/>
      <c r="G9" s="65" t="s">
        <v>109</v>
      </c>
      <c r="H9" s="1">
        <v>10875.3</v>
      </c>
      <c r="I9" s="69"/>
      <c r="J9" s="67" t="s">
        <v>124</v>
      </c>
      <c r="K9" s="144"/>
      <c r="L9" s="87">
        <f>L8*L13</f>
        <v>6263.3930800000007</v>
      </c>
      <c r="M9" s="87">
        <f>M8*M13</f>
        <v>5946.0846200000005</v>
      </c>
      <c r="O9" s="87">
        <f>O8*O13</f>
        <v>6263.3930799999998</v>
      </c>
      <c r="Q9" s="87">
        <f>Q7*Q13</f>
        <v>30439.206975599995</v>
      </c>
      <c r="R9" s="87">
        <f>R7*R13</f>
        <v>33724.495834199995</v>
      </c>
      <c r="S9" s="87">
        <f>S7*S13</f>
        <v>35065.430062199994</v>
      </c>
      <c r="T9" s="122">
        <f>T7*T13</f>
        <v>37076.831404199998</v>
      </c>
      <c r="U9" s="73"/>
      <c r="V9" s="87">
        <f>V7*V13</f>
        <v>49435.775205600003</v>
      </c>
      <c r="W9" s="87">
        <f>W7*W13</f>
        <v>55648.770462</v>
      </c>
      <c r="X9" s="87">
        <f>X7*X13</f>
        <v>74734.734307200008</v>
      </c>
      <c r="Y9" s="73"/>
      <c r="Z9" s="87">
        <f>Z7*Z13</f>
        <v>93418.41788400001</v>
      </c>
      <c r="AA9" s="87">
        <f>AA7*AA13</f>
        <v>104536.9975245</v>
      </c>
      <c r="AB9" s="73"/>
      <c r="AC9" s="87">
        <f>AC7*AC13</f>
        <v>125444.39702939999</v>
      </c>
      <c r="AD9" s="87">
        <f>AD7*AD13</f>
        <v>147703.9052142</v>
      </c>
      <c r="AF9" s="130">
        <f>AF13*AF7</f>
        <v>172321.22274989999</v>
      </c>
    </row>
    <row r="10" spans="2:32" x14ac:dyDescent="0.3">
      <c r="B10" s="75">
        <v>1.75</v>
      </c>
      <c r="C10" s="75">
        <v>1.9999990000000001</v>
      </c>
      <c r="D10" s="75" t="s">
        <v>82</v>
      </c>
      <c r="E10" s="76">
        <v>2.98E-2</v>
      </c>
      <c r="F10" s="76"/>
      <c r="G10" s="65" t="s">
        <v>106</v>
      </c>
      <c r="H10" s="70">
        <f>H8/H9</f>
        <v>6.3428227267293789</v>
      </c>
      <c r="I10" s="70"/>
      <c r="J10" s="67" t="s">
        <v>106</v>
      </c>
      <c r="K10" s="146"/>
      <c r="L10" s="85">
        <f>L8/L9</f>
        <v>11.013215859030836</v>
      </c>
      <c r="M10" s="85">
        <f>M8/M9</f>
        <v>11.600928074245939</v>
      </c>
      <c r="O10" s="85">
        <f>O8/O9</f>
        <v>11.013215859030838</v>
      </c>
      <c r="Q10" s="85">
        <f>Q8/Q9</f>
        <v>2.2661595637262928</v>
      </c>
      <c r="R10" s="86">
        <f>R8/R9</f>
        <v>2.0454301330146589</v>
      </c>
      <c r="S10" s="86">
        <f>S8/S9</f>
        <v>1.9672110074691653</v>
      </c>
      <c r="T10" s="124">
        <f>T8/T9</f>
        <v>1.8604906996498614</v>
      </c>
      <c r="U10" s="71"/>
      <c r="V10" s="86">
        <f>V8/V9</f>
        <v>1.3953882530031778</v>
      </c>
      <c r="W10" s="86">
        <f>W8/W9</f>
        <v>1.2395979179289276</v>
      </c>
      <c r="X10" s="86">
        <f>X8/X9</f>
        <v>0.92302596161573847</v>
      </c>
      <c r="Y10" s="71"/>
      <c r="Z10" s="86">
        <f>Z8/Z9</f>
        <v>0.73843147381984198</v>
      </c>
      <c r="AA10" s="86">
        <f t="shared" ref="AA10:AF10" si="0">AA8/AA9</f>
        <v>0.65990129459986091</v>
      </c>
      <c r="AB10" s="71"/>
      <c r="AC10" s="86">
        <f t="shared" si="0"/>
        <v>0.54991774549988415</v>
      </c>
      <c r="AD10" s="86">
        <f t="shared" si="0"/>
        <v>0.46704316923753209</v>
      </c>
      <c r="AF10" s="86">
        <f t="shared" si="0"/>
        <v>0.40032271648931322</v>
      </c>
    </row>
    <row r="11" spans="2:32" x14ac:dyDescent="0.3">
      <c r="B11" s="75">
        <v>2</v>
      </c>
      <c r="C11" s="75">
        <v>2.2499999000000002</v>
      </c>
      <c r="D11" s="75" t="s">
        <v>83</v>
      </c>
      <c r="E11" s="76">
        <v>2.3800000000000002E-2</v>
      </c>
      <c r="F11" s="76"/>
      <c r="G11" s="65" t="s">
        <v>107</v>
      </c>
      <c r="H11" s="74" t="s">
        <v>120</v>
      </c>
      <c r="I11" s="74"/>
      <c r="J11" s="67" t="s">
        <v>125</v>
      </c>
      <c r="K11" s="148"/>
      <c r="L11" s="128"/>
      <c r="M11" s="128" t="s">
        <v>96</v>
      </c>
      <c r="O11" s="130" t="s">
        <v>120</v>
      </c>
      <c r="Q11" s="74" t="s">
        <v>120</v>
      </c>
      <c r="R11" s="89" t="str">
        <f>D12</f>
        <v>Ba1/BB+</v>
      </c>
      <c r="S11" s="89" t="str">
        <f>D11</f>
        <v>Ba2/BB</v>
      </c>
      <c r="T11" s="125" t="str">
        <f>D10</f>
        <v>B1/B+</v>
      </c>
      <c r="U11" s="75"/>
      <c r="V11" s="89"/>
      <c r="W11" s="129" t="s">
        <v>80</v>
      </c>
      <c r="X11" s="89" t="str">
        <f>D7</f>
        <v>Caa/CCC</v>
      </c>
      <c r="Y11" s="75"/>
      <c r="Z11" s="92"/>
      <c r="AA11" s="75" t="s">
        <v>78</v>
      </c>
      <c r="AB11" s="75"/>
      <c r="AC11" s="89"/>
      <c r="AD11" s="89" t="s">
        <v>77</v>
      </c>
      <c r="AF11" s="89" t="s">
        <v>77</v>
      </c>
    </row>
    <row r="12" spans="2:32" x14ac:dyDescent="0.3">
      <c r="B12" s="75">
        <v>2.25</v>
      </c>
      <c r="C12" s="75">
        <v>2.4999899999999999</v>
      </c>
      <c r="D12" s="75" t="s">
        <v>84</v>
      </c>
      <c r="E12" s="76">
        <v>1.9800000000000002E-2</v>
      </c>
      <c r="F12" s="76"/>
      <c r="G12" s="65" t="s">
        <v>114</v>
      </c>
      <c r="H12" s="80">
        <v>0.01</v>
      </c>
      <c r="I12" s="74"/>
      <c r="J12" s="67" t="s">
        <v>126</v>
      </c>
      <c r="K12" s="148"/>
      <c r="L12" s="128"/>
      <c r="M12" s="91">
        <f>E18</f>
        <v>5.4000000000000003E-3</v>
      </c>
      <c r="O12" s="91">
        <v>0.01</v>
      </c>
      <c r="Q12" s="89"/>
      <c r="R12" s="90">
        <f>E12</f>
        <v>1.9800000000000002E-2</v>
      </c>
      <c r="S12" s="90">
        <f>E11</f>
        <v>2.3800000000000002E-2</v>
      </c>
      <c r="T12" s="126">
        <f>E10</f>
        <v>2.98E-2</v>
      </c>
      <c r="U12" s="75"/>
      <c r="V12" s="89"/>
      <c r="W12" s="90">
        <f>E8</f>
        <v>4.3700000000000003E-2</v>
      </c>
      <c r="X12" s="90">
        <f>E7</f>
        <v>8.6400000000000005E-2</v>
      </c>
      <c r="Y12" s="75"/>
      <c r="Z12" s="92"/>
      <c r="AA12" s="90">
        <f>E6</f>
        <v>0.10630000000000001</v>
      </c>
      <c r="AB12" s="81"/>
      <c r="AC12" s="89"/>
      <c r="AD12" s="90">
        <f>E5</f>
        <v>0.13950000000000001</v>
      </c>
      <c r="AF12" s="90">
        <f>AD12</f>
        <v>0.13950000000000001</v>
      </c>
    </row>
    <row r="13" spans="2:32" x14ac:dyDescent="0.3">
      <c r="B13" s="75">
        <v>2.5</v>
      </c>
      <c r="C13" s="75">
        <v>2.9999989999999999</v>
      </c>
      <c r="D13" s="75" t="s">
        <v>85</v>
      </c>
      <c r="E13" s="76">
        <v>1.2699999999999999E-2</v>
      </c>
      <c r="F13" s="76"/>
      <c r="G13" s="82" t="s">
        <v>108</v>
      </c>
      <c r="H13" s="83">
        <f>H12+H2+H3</f>
        <v>9.0799999999999992E-2</v>
      </c>
      <c r="I13" s="83"/>
      <c r="J13" s="67" t="s">
        <v>127</v>
      </c>
      <c r="K13" s="149"/>
      <c r="L13" s="91">
        <v>9.0800000000000006E-2</v>
      </c>
      <c r="M13" s="138">
        <f>M12+H2+H3</f>
        <v>8.6199999999999999E-2</v>
      </c>
      <c r="O13" s="137">
        <f>O12+H3+H2</f>
        <v>9.0799999999999992E-2</v>
      </c>
      <c r="Q13" s="91">
        <f>H13</f>
        <v>9.0799999999999992E-2</v>
      </c>
      <c r="R13" s="91">
        <f>H2+H3+R12</f>
        <v>0.10059999999999999</v>
      </c>
      <c r="S13" s="91">
        <f>S12+H2+H3</f>
        <v>0.1046</v>
      </c>
      <c r="T13" s="127">
        <f>H3+H2+T12</f>
        <v>0.1106</v>
      </c>
      <c r="U13" s="69"/>
      <c r="V13" s="91">
        <f>T13</f>
        <v>0.1106</v>
      </c>
      <c r="W13" s="91">
        <f>H2+H3+W12</f>
        <v>0.1245</v>
      </c>
      <c r="X13" s="91">
        <f>H2+H3+X12</f>
        <v>0.16720000000000002</v>
      </c>
      <c r="Y13" s="69"/>
      <c r="Z13" s="91">
        <f>X13</f>
        <v>0.16720000000000002</v>
      </c>
      <c r="AA13" s="91">
        <f>H2+H3+AA12</f>
        <v>0.18709999999999999</v>
      </c>
      <c r="AB13" s="83"/>
      <c r="AC13" s="91">
        <f>AA13</f>
        <v>0.18709999999999999</v>
      </c>
      <c r="AD13" s="91">
        <f>AD12+H2+H3</f>
        <v>0.22030000000000002</v>
      </c>
      <c r="AF13" s="133">
        <f>AD13</f>
        <v>0.22030000000000002</v>
      </c>
    </row>
    <row r="14" spans="2:32" x14ac:dyDescent="0.3">
      <c r="B14" s="75">
        <v>3</v>
      </c>
      <c r="C14" s="75">
        <v>4.2499989999999999</v>
      </c>
      <c r="D14" s="75" t="s">
        <v>86</v>
      </c>
      <c r="E14" s="76">
        <v>1.1299999999999999E-2</v>
      </c>
      <c r="F14" s="115"/>
    </row>
    <row r="15" spans="2:32" x14ac:dyDescent="0.3">
      <c r="B15" s="75">
        <v>4.25</v>
      </c>
      <c r="C15" s="75">
        <v>5.4999989999999999</v>
      </c>
      <c r="D15" s="75" t="s">
        <v>87</v>
      </c>
      <c r="E15" s="76">
        <v>9.9000000000000008E-3</v>
      </c>
      <c r="F15" s="115"/>
    </row>
    <row r="16" spans="2:32" x14ac:dyDescent="0.3">
      <c r="B16" s="75">
        <v>5.5</v>
      </c>
      <c r="C16" s="75">
        <v>6.4999989999999999</v>
      </c>
      <c r="D16" s="75" t="s">
        <v>88</v>
      </c>
      <c r="E16" s="76">
        <v>8.9999999999999993E-3</v>
      </c>
      <c r="F16" s="76"/>
      <c r="G16" s="99" t="s">
        <v>115</v>
      </c>
      <c r="H16" s="99" t="s">
        <v>116</v>
      </c>
      <c r="I16" s="99" t="s">
        <v>117</v>
      </c>
      <c r="J16" s="69" t="s">
        <v>128</v>
      </c>
      <c r="K16" s="99"/>
      <c r="L16" s="69" t="s">
        <v>129</v>
      </c>
      <c r="M16" s="69" t="s">
        <v>123</v>
      </c>
      <c r="N16" s="69" t="s">
        <v>106</v>
      </c>
      <c r="O16" s="69" t="s">
        <v>99</v>
      </c>
    </row>
    <row r="17" spans="2:20" x14ac:dyDescent="0.3">
      <c r="B17" s="75">
        <v>6.5</v>
      </c>
      <c r="C17" s="75">
        <v>8.4999990000000007</v>
      </c>
      <c r="D17" s="75" t="s">
        <v>89</v>
      </c>
      <c r="E17" s="76">
        <v>7.1999999999999998E-3</v>
      </c>
      <c r="F17" s="76"/>
      <c r="G17" s="99">
        <v>0</v>
      </c>
      <c r="H17" s="99" t="s">
        <v>96</v>
      </c>
      <c r="I17" s="100">
        <f>M13</f>
        <v>8.6199999999999999E-2</v>
      </c>
      <c r="J17" s="72">
        <f t="shared" ref="J17:J26" si="1">$H$1*G17</f>
        <v>0</v>
      </c>
      <c r="K17" s="100"/>
      <c r="L17" s="72">
        <f t="shared" ref="L17:L26" si="2">J17*I17</f>
        <v>0</v>
      </c>
      <c r="M17" s="72">
        <f>$H$8</f>
        <v>68980.100000000006</v>
      </c>
      <c r="N17" s="69" t="s">
        <v>130</v>
      </c>
      <c r="O17" s="83">
        <f>IF(M17&gt;L17,34%,M17*0.34)</f>
        <v>0.34</v>
      </c>
    </row>
    <row r="18" spans="2:20" x14ac:dyDescent="0.3">
      <c r="B18" s="98">
        <v>8.5</v>
      </c>
      <c r="C18" s="75">
        <v>100000</v>
      </c>
      <c r="D18" s="75" t="s">
        <v>90</v>
      </c>
      <c r="E18" s="76">
        <v>5.4000000000000003E-3</v>
      </c>
      <c r="F18" s="76"/>
      <c r="G18" s="99">
        <v>0.1</v>
      </c>
      <c r="H18" s="99" t="str">
        <f>M11</f>
        <v>AAA</v>
      </c>
      <c r="I18" s="100">
        <f>M13</f>
        <v>8.6199999999999999E-2</v>
      </c>
      <c r="J18" s="72">
        <f t="shared" si="1"/>
        <v>111744.519</v>
      </c>
      <c r="K18" s="100"/>
      <c r="L18" s="72">
        <f t="shared" si="2"/>
        <v>9632.3775377999991</v>
      </c>
      <c r="M18" s="72">
        <f t="shared" ref="M18:M26" si="3">$H$8</f>
        <v>68980.100000000006</v>
      </c>
      <c r="N18" s="70">
        <f t="shared" ref="N18:N26" si="4">M18/L18</f>
        <v>7.1612745378079126</v>
      </c>
      <c r="O18" s="83">
        <f>IF(M18&gt;L18,34%,M18*0.34)</f>
        <v>0.34</v>
      </c>
    </row>
    <row r="19" spans="2:20" x14ac:dyDescent="0.3">
      <c r="G19" s="99">
        <v>0.2</v>
      </c>
      <c r="H19" s="99" t="str">
        <f>Q11</f>
        <v>AA+</v>
      </c>
      <c r="I19" s="101">
        <f>O13</f>
        <v>9.0799999999999992E-2</v>
      </c>
      <c r="J19" s="72">
        <f t="shared" si="1"/>
        <v>223489.038</v>
      </c>
      <c r="K19" s="101"/>
      <c r="L19" s="72">
        <f t="shared" si="2"/>
        <v>20292.804650399998</v>
      </c>
      <c r="M19" s="72">
        <f t="shared" si="3"/>
        <v>68980.100000000006</v>
      </c>
      <c r="N19" s="70">
        <f t="shared" si="4"/>
        <v>3.3992393455894385</v>
      </c>
      <c r="O19" s="83">
        <f>IF(M19&gt;L19,34%,M19*0.34)</f>
        <v>0.34</v>
      </c>
    </row>
    <row r="20" spans="2:20" x14ac:dyDescent="0.3">
      <c r="G20" s="99">
        <v>0.3</v>
      </c>
      <c r="H20" s="102" t="str">
        <f>T11</f>
        <v>B1/B+</v>
      </c>
      <c r="I20" s="100">
        <f>T13</f>
        <v>0.1106</v>
      </c>
      <c r="J20" s="72">
        <f t="shared" si="1"/>
        <v>335233.55699999997</v>
      </c>
      <c r="K20" s="100"/>
      <c r="L20" s="72">
        <f t="shared" si="2"/>
        <v>37076.831404199998</v>
      </c>
      <c r="M20" s="72">
        <f t="shared" si="3"/>
        <v>68980.100000000006</v>
      </c>
      <c r="N20" s="70">
        <f t="shared" si="4"/>
        <v>1.8604637286288186</v>
      </c>
      <c r="O20" s="83">
        <f>IF(M20&gt;L20,34%,M20*0.34)</f>
        <v>0.34</v>
      </c>
    </row>
    <row r="21" spans="2:20" x14ac:dyDescent="0.3">
      <c r="G21" s="99">
        <v>0.4</v>
      </c>
      <c r="H21" s="102" t="s">
        <v>81</v>
      </c>
      <c r="I21" s="100">
        <f>X13</f>
        <v>0.16720000000000002</v>
      </c>
      <c r="J21" s="72">
        <f t="shared" si="1"/>
        <v>446978.076</v>
      </c>
      <c r="K21" s="100"/>
      <c r="L21" s="72">
        <f t="shared" si="2"/>
        <v>74734.734307200008</v>
      </c>
      <c r="M21" s="72">
        <f t="shared" si="3"/>
        <v>68980.100000000006</v>
      </c>
      <c r="N21" s="70">
        <f t="shared" si="4"/>
        <v>0.92299920029761051</v>
      </c>
      <c r="O21" s="83">
        <f t="shared" ref="O21:O26" si="5">IF(M21&gt;L21,34%,(M21*0.34)/L21)</f>
        <v>0.31381972810118763</v>
      </c>
    </row>
    <row r="22" spans="2:20" x14ac:dyDescent="0.3">
      <c r="G22" s="99">
        <v>0.5</v>
      </c>
      <c r="H22" s="102" t="str">
        <f>AA11</f>
        <v>Ca2/CC</v>
      </c>
      <c r="I22" s="100">
        <f>AA13</f>
        <v>0.18709999999999999</v>
      </c>
      <c r="J22" s="72">
        <f t="shared" si="1"/>
        <v>558722.59499999997</v>
      </c>
      <c r="K22" s="100"/>
      <c r="L22" s="72">
        <f t="shared" si="2"/>
        <v>104536.9975245</v>
      </c>
      <c r="M22" s="72">
        <f t="shared" si="3"/>
        <v>68980.100000000006</v>
      </c>
      <c r="N22" s="70">
        <f t="shared" si="4"/>
        <v>0.65986303063499951</v>
      </c>
      <c r="O22" s="83">
        <f t="shared" si="5"/>
        <v>0.22435343041589983</v>
      </c>
    </row>
    <row r="23" spans="2:20" x14ac:dyDescent="0.3">
      <c r="G23" s="99">
        <v>0.6</v>
      </c>
      <c r="H23" s="102" t="s">
        <v>77</v>
      </c>
      <c r="I23" s="103">
        <f>AD13</f>
        <v>0.22030000000000002</v>
      </c>
      <c r="J23" s="72">
        <f t="shared" si="1"/>
        <v>670467.11399999994</v>
      </c>
      <c r="K23" s="103"/>
      <c r="L23" s="72">
        <f t="shared" si="2"/>
        <v>147703.9052142</v>
      </c>
      <c r="M23" s="72">
        <f t="shared" si="3"/>
        <v>68980.100000000006</v>
      </c>
      <c r="N23" s="70">
        <f t="shared" si="4"/>
        <v>0.46701608803074746</v>
      </c>
      <c r="O23" s="83">
        <f t="shared" si="5"/>
        <v>0.15878546993045414</v>
      </c>
    </row>
    <row r="24" spans="2:20" x14ac:dyDescent="0.3">
      <c r="G24" s="99">
        <v>0.7</v>
      </c>
      <c r="H24" s="102" t="str">
        <f>AD11</f>
        <v>C2/C</v>
      </c>
      <c r="I24" s="103">
        <f>AD13</f>
        <v>0.22030000000000002</v>
      </c>
      <c r="J24" s="72">
        <f t="shared" si="1"/>
        <v>782211.63299999991</v>
      </c>
      <c r="K24" s="103"/>
      <c r="L24" s="72">
        <f t="shared" si="2"/>
        <v>172321.22274989999</v>
      </c>
      <c r="M24" s="72">
        <f t="shared" si="3"/>
        <v>68980.100000000006</v>
      </c>
      <c r="N24" s="70">
        <f t="shared" si="4"/>
        <v>0.400299504026355</v>
      </c>
      <c r="O24" s="83">
        <f t="shared" si="5"/>
        <v>0.1361018313689607</v>
      </c>
    </row>
    <row r="25" spans="2:20" x14ac:dyDescent="0.3">
      <c r="G25" s="99">
        <v>0.8</v>
      </c>
      <c r="H25" s="102" t="s">
        <v>76</v>
      </c>
      <c r="I25" s="103">
        <f>H2+H3+E4</f>
        <v>0.26679999999999998</v>
      </c>
      <c r="J25" s="72">
        <f t="shared" si="1"/>
        <v>893956.152</v>
      </c>
      <c r="K25" s="103"/>
      <c r="L25" s="72">
        <f t="shared" si="2"/>
        <v>238507.50135359998</v>
      </c>
      <c r="M25" s="72">
        <f t="shared" si="3"/>
        <v>68980.100000000006</v>
      </c>
      <c r="N25" s="70">
        <f t="shared" si="4"/>
        <v>0.28921564147256468</v>
      </c>
      <c r="O25" s="83">
        <f t="shared" si="5"/>
        <v>9.8333318100672001E-2</v>
      </c>
    </row>
    <row r="26" spans="2:20" x14ac:dyDescent="0.3">
      <c r="G26" s="99">
        <v>0.9</v>
      </c>
      <c r="H26" s="102" t="s">
        <v>76</v>
      </c>
      <c r="I26" s="103">
        <f>I25</f>
        <v>0.26679999999999998</v>
      </c>
      <c r="J26" s="72">
        <f t="shared" si="1"/>
        <v>1005700.671</v>
      </c>
      <c r="K26" s="103"/>
      <c r="L26" s="72">
        <f t="shared" si="2"/>
        <v>268320.93902279995</v>
      </c>
      <c r="M26" s="72">
        <f t="shared" si="3"/>
        <v>68980.100000000006</v>
      </c>
      <c r="N26" s="70">
        <f t="shared" si="4"/>
        <v>0.25708057019783531</v>
      </c>
      <c r="O26" s="83">
        <f t="shared" si="5"/>
        <v>8.7407393867264011E-2</v>
      </c>
    </row>
    <row r="28" spans="2:20" x14ac:dyDescent="0.3">
      <c r="G28" s="99" t="s">
        <v>115</v>
      </c>
      <c r="H28" s="99" t="s">
        <v>133</v>
      </c>
      <c r="I28" s="99" t="s">
        <v>117</v>
      </c>
      <c r="J28" s="67" t="str">
        <f>O16</f>
        <v>Tax Rate</v>
      </c>
      <c r="K28" s="141" t="s">
        <v>134</v>
      </c>
      <c r="L28" s="67" t="s">
        <v>131</v>
      </c>
      <c r="M28" s="67" t="s">
        <v>132</v>
      </c>
      <c r="N28" s="67" t="s">
        <v>135</v>
      </c>
      <c r="O28" s="67" t="s">
        <v>97</v>
      </c>
      <c r="P28" s="67" t="s">
        <v>136</v>
      </c>
      <c r="Q28" s="64" t="s">
        <v>110</v>
      </c>
      <c r="S28" s="67" t="s">
        <v>100</v>
      </c>
      <c r="T28" s="150">
        <f xml:space="preserve"> ((1117445*0.14023)- 45526.87)/(1117445+ 45526.87)</f>
        <v>9.5593406184450516E-2</v>
      </c>
    </row>
    <row r="29" spans="2:20" x14ac:dyDescent="0.3">
      <c r="G29" s="99">
        <v>0</v>
      </c>
      <c r="H29" s="142">
        <f>G29/(1-G29)</f>
        <v>0</v>
      </c>
      <c r="I29" s="118">
        <f>I17</f>
        <v>8.6199999999999999E-2</v>
      </c>
      <c r="J29" s="143">
        <f t="shared" ref="J29:J38" si="6">O17</f>
        <v>0.34</v>
      </c>
      <c r="K29" s="118">
        <f>I29*(1-J29)</f>
        <v>5.6891999999999991E-2</v>
      </c>
      <c r="L29" s="67">
        <v>1.41</v>
      </c>
      <c r="M29" s="140">
        <f>L29*(1+H29*(1-J29))</f>
        <v>1.41</v>
      </c>
      <c r="N29" s="143">
        <f>6.68%+M29*4.77%+1.47%</f>
        <v>0.14875699999999997</v>
      </c>
      <c r="O29" s="118">
        <f>K29*G29+N29*(1-G29)</f>
        <v>0.14875699999999997</v>
      </c>
      <c r="P29" s="118">
        <f>$T$28</f>
        <v>9.5593406184450516E-2</v>
      </c>
      <c r="Q29" s="64">
        <f>(($M$17*(1+P29)*(1-0.34))/(O29-P29))</f>
        <v>938215.99734016298</v>
      </c>
    </row>
    <row r="30" spans="2:20" x14ac:dyDescent="0.3">
      <c r="G30" s="99">
        <v>0.1</v>
      </c>
      <c r="H30" s="142">
        <f t="shared" ref="H30:H38" si="7">G30/(1-G30)</f>
        <v>0.11111111111111112</v>
      </c>
      <c r="I30" s="118">
        <f t="shared" ref="I30:I38" si="8">I18</f>
        <v>8.6199999999999999E-2</v>
      </c>
      <c r="J30" s="143">
        <f t="shared" si="6"/>
        <v>0.34</v>
      </c>
      <c r="K30" s="118">
        <f t="shared" ref="K30:K38" si="9">I30*(1-J30)</f>
        <v>5.6891999999999991E-2</v>
      </c>
      <c r="L30" s="67">
        <v>1.41</v>
      </c>
      <c r="M30" s="140">
        <f t="shared" ref="M30:M38" si="10">L30*(1+H30*(1-J30))</f>
        <v>1.5133999999999999</v>
      </c>
      <c r="N30" s="143">
        <f t="shared" ref="N30:N38" si="11">6.68%+M30*4.77%+1.47%</f>
        <v>0.15368917999999998</v>
      </c>
      <c r="O30" s="118">
        <f t="shared" ref="O30:O38" si="12">K30*G30+N30*(1-G30)</f>
        <v>0.144009462</v>
      </c>
      <c r="P30" s="118">
        <f t="shared" ref="P30:P38" si="13">$T$28</f>
        <v>9.5593406184450516E-2</v>
      </c>
      <c r="Q30" s="64">
        <f t="shared" ref="Q30:Q38" si="14">(($M$17*(1+P30)*(1-0.34))/(O30-P30))</f>
        <v>1030214.7366953369</v>
      </c>
    </row>
    <row r="31" spans="2:20" x14ac:dyDescent="0.3">
      <c r="G31" s="99">
        <v>0.2</v>
      </c>
      <c r="H31" s="142">
        <f t="shared" si="7"/>
        <v>0.25</v>
      </c>
      <c r="I31" s="118">
        <f t="shared" si="8"/>
        <v>9.0799999999999992E-2</v>
      </c>
      <c r="J31" s="143">
        <f t="shared" si="6"/>
        <v>0.34</v>
      </c>
      <c r="K31" s="118">
        <f t="shared" si="9"/>
        <v>5.9927999999999988E-2</v>
      </c>
      <c r="L31" s="67">
        <v>1.41</v>
      </c>
      <c r="M31" s="140">
        <f t="shared" si="10"/>
        <v>1.6426499999999999</v>
      </c>
      <c r="N31" s="143">
        <f t="shared" si="11"/>
        <v>0.15985440499999998</v>
      </c>
      <c r="O31" s="118">
        <f t="shared" si="12"/>
        <v>0.13986912400000001</v>
      </c>
      <c r="P31" s="118">
        <f t="shared" si="13"/>
        <v>9.5593406184450516E-2</v>
      </c>
      <c r="Q31" s="64">
        <f t="shared" si="14"/>
        <v>1126552.8071534894</v>
      </c>
    </row>
    <row r="32" spans="2:20" x14ac:dyDescent="0.3">
      <c r="G32" s="99">
        <v>0.3</v>
      </c>
      <c r="H32" s="142">
        <f t="shared" si="7"/>
        <v>0.4285714285714286</v>
      </c>
      <c r="I32" s="118">
        <f t="shared" si="8"/>
        <v>0.1106</v>
      </c>
      <c r="J32" s="143">
        <f t="shared" si="6"/>
        <v>0.34</v>
      </c>
      <c r="K32" s="118">
        <f t="shared" si="9"/>
        <v>7.2995999999999991E-2</v>
      </c>
      <c r="L32" s="67">
        <v>1.41</v>
      </c>
      <c r="M32" s="140">
        <f t="shared" si="10"/>
        <v>1.8088285714285715</v>
      </c>
      <c r="N32" s="143">
        <f t="shared" si="11"/>
        <v>0.16778112285714283</v>
      </c>
      <c r="O32" s="118">
        <f t="shared" si="12"/>
        <v>0.13934558599999997</v>
      </c>
      <c r="P32" s="118">
        <f t="shared" si="13"/>
        <v>9.5593406184450516E-2</v>
      </c>
      <c r="Q32" s="64">
        <f t="shared" si="14"/>
        <v>1140033.1230151912</v>
      </c>
    </row>
    <row r="33" spans="7:17" x14ac:dyDescent="0.3">
      <c r="G33" s="99">
        <v>0.4</v>
      </c>
      <c r="H33" s="142">
        <f t="shared" si="7"/>
        <v>0.66666666666666674</v>
      </c>
      <c r="I33" s="118">
        <f t="shared" si="8"/>
        <v>0.16720000000000002</v>
      </c>
      <c r="J33" s="143">
        <f t="shared" si="6"/>
        <v>0.31381972810118763</v>
      </c>
      <c r="K33" s="118">
        <f t="shared" si="9"/>
        <v>0.11472934146148143</v>
      </c>
      <c r="L33" s="67">
        <v>1.41</v>
      </c>
      <c r="M33" s="140">
        <f t="shared" si="10"/>
        <v>2.0550094555848837</v>
      </c>
      <c r="N33" s="143">
        <f t="shared" si="11"/>
        <v>0.17952395103139893</v>
      </c>
      <c r="O33" s="118">
        <f t="shared" si="12"/>
        <v>0.15360610720343193</v>
      </c>
      <c r="P33" s="118">
        <f t="shared" si="13"/>
        <v>9.5593406184450516E-2</v>
      </c>
      <c r="Q33" s="64">
        <f t="shared" si="14"/>
        <v>859793.34383211972</v>
      </c>
    </row>
    <row r="34" spans="7:17" x14ac:dyDescent="0.3">
      <c r="G34" s="99">
        <v>0.5</v>
      </c>
      <c r="H34" s="142">
        <f t="shared" si="7"/>
        <v>1</v>
      </c>
      <c r="I34" s="118">
        <f t="shared" si="8"/>
        <v>0.18709999999999999</v>
      </c>
      <c r="J34" s="143">
        <f t="shared" si="6"/>
        <v>0.22435343041589983</v>
      </c>
      <c r="K34" s="118">
        <f t="shared" si="9"/>
        <v>0.14512347316918514</v>
      </c>
      <c r="L34" s="67">
        <v>1.41</v>
      </c>
      <c r="M34" s="140">
        <f t="shared" si="10"/>
        <v>2.5036616631135811</v>
      </c>
      <c r="N34" s="143">
        <f t="shared" si="11"/>
        <v>0.20092466133051778</v>
      </c>
      <c r="O34" s="118">
        <f t="shared" si="12"/>
        <v>0.17302406724985148</v>
      </c>
      <c r="P34" s="118">
        <f t="shared" si="13"/>
        <v>9.5593406184450516E-2</v>
      </c>
      <c r="Q34" s="64">
        <f t="shared" si="14"/>
        <v>644175.49207946646</v>
      </c>
    </row>
    <row r="35" spans="7:17" x14ac:dyDescent="0.3">
      <c r="G35" s="99">
        <v>0.6</v>
      </c>
      <c r="H35" s="142">
        <f t="shared" si="7"/>
        <v>1.4999999999999998</v>
      </c>
      <c r="I35" s="118">
        <f t="shared" si="8"/>
        <v>0.22030000000000002</v>
      </c>
      <c r="J35" s="143">
        <f t="shared" si="6"/>
        <v>0.15878546993045414</v>
      </c>
      <c r="K35" s="118">
        <f t="shared" si="9"/>
        <v>0.18531956097432098</v>
      </c>
      <c r="L35" s="67">
        <v>1.41</v>
      </c>
      <c r="M35" s="140">
        <f t="shared" si="10"/>
        <v>3.1891687310970891</v>
      </c>
      <c r="N35" s="143">
        <f t="shared" si="11"/>
        <v>0.2336233484733311</v>
      </c>
      <c r="O35" s="118">
        <f t="shared" si="12"/>
        <v>0.20464107597392503</v>
      </c>
      <c r="P35" s="118">
        <f t="shared" si="13"/>
        <v>9.5593406184450516E-2</v>
      </c>
      <c r="Q35" s="64">
        <f t="shared" si="14"/>
        <v>457404.86055445689</v>
      </c>
    </row>
    <row r="36" spans="7:17" x14ac:dyDescent="0.3">
      <c r="G36" s="99">
        <v>0.7</v>
      </c>
      <c r="H36" s="142">
        <f t="shared" si="7"/>
        <v>2.333333333333333</v>
      </c>
      <c r="I36" s="118">
        <f t="shared" si="8"/>
        <v>0.22030000000000002</v>
      </c>
      <c r="J36" s="143">
        <f t="shared" si="6"/>
        <v>0.1361018313689607</v>
      </c>
      <c r="K36" s="118">
        <f t="shared" si="9"/>
        <v>0.19031676654941798</v>
      </c>
      <c r="L36" s="67">
        <v>1.41</v>
      </c>
      <c r="M36" s="140">
        <f t="shared" si="10"/>
        <v>4.2522249747961185</v>
      </c>
      <c r="N36" s="143">
        <f t="shared" si="11"/>
        <v>0.28433113129777482</v>
      </c>
      <c r="O36" s="118">
        <f t="shared" si="12"/>
        <v>0.21852107597392503</v>
      </c>
      <c r="P36" s="118">
        <f t="shared" si="13"/>
        <v>9.5593406184450516E-2</v>
      </c>
      <c r="Q36" s="64">
        <f t="shared" si="14"/>
        <v>405758.39661864197</v>
      </c>
    </row>
    <row r="37" spans="7:17" x14ac:dyDescent="0.3">
      <c r="G37" s="99">
        <v>0.8</v>
      </c>
      <c r="H37" s="142">
        <f t="shared" si="7"/>
        <v>4.0000000000000009</v>
      </c>
      <c r="I37" s="118">
        <f t="shared" si="8"/>
        <v>0.26679999999999998</v>
      </c>
      <c r="J37" s="143">
        <f t="shared" si="6"/>
        <v>9.8333318100672001E-2</v>
      </c>
      <c r="K37" s="118">
        <f t="shared" si="9"/>
        <v>0.2405646707307407</v>
      </c>
      <c r="L37" s="67">
        <v>1.41</v>
      </c>
      <c r="M37" s="140">
        <f t="shared" si="10"/>
        <v>6.4954000859122107</v>
      </c>
      <c r="N37" s="143">
        <f t="shared" si="11"/>
        <v>0.39133058409801241</v>
      </c>
      <c r="O37" s="118">
        <f t="shared" si="12"/>
        <v>0.27071785340419507</v>
      </c>
      <c r="P37" s="118">
        <f t="shared" si="13"/>
        <v>9.5593406184450516E-2</v>
      </c>
      <c r="Q37" s="64">
        <f t="shared" si="14"/>
        <v>284819.93796820048</v>
      </c>
    </row>
    <row r="38" spans="7:17" x14ac:dyDescent="0.3">
      <c r="G38" s="99">
        <v>0.9</v>
      </c>
      <c r="H38" s="142">
        <f t="shared" si="7"/>
        <v>9.0000000000000018</v>
      </c>
      <c r="I38" s="118">
        <f t="shared" si="8"/>
        <v>0.26679999999999998</v>
      </c>
      <c r="J38" s="143">
        <f t="shared" si="6"/>
        <v>8.7407393867264011E-2</v>
      </c>
      <c r="K38" s="118">
        <f t="shared" si="9"/>
        <v>0.24347970731621393</v>
      </c>
      <c r="L38" s="67">
        <v>1.41</v>
      </c>
      <c r="M38" s="140">
        <f t="shared" si="10"/>
        <v>12.990800171824421</v>
      </c>
      <c r="N38" s="143">
        <f t="shared" si="11"/>
        <v>0.70116116819602481</v>
      </c>
      <c r="O38" s="118">
        <f t="shared" si="12"/>
        <v>0.28924785340419501</v>
      </c>
      <c r="P38" s="118">
        <f t="shared" si="13"/>
        <v>9.5593406184450516E-2</v>
      </c>
      <c r="Q38" s="64">
        <f t="shared" si="14"/>
        <v>257566.68597052246</v>
      </c>
    </row>
    <row r="40" spans="7:17" x14ac:dyDescent="0.3">
      <c r="G40" s="99" t="s">
        <v>141</v>
      </c>
      <c r="H40" s="69" t="s">
        <v>137</v>
      </c>
      <c r="I40" s="69" t="s">
        <v>138</v>
      </c>
      <c r="J40" s="69" t="s">
        <v>139</v>
      </c>
      <c r="K40" s="69" t="s">
        <v>97</v>
      </c>
      <c r="L40" s="69" t="s">
        <v>140</v>
      </c>
      <c r="M40" s="69" t="s">
        <v>110</v>
      </c>
    </row>
    <row r="41" spans="7:17" x14ac:dyDescent="0.3">
      <c r="G41" s="151">
        <v>0</v>
      </c>
      <c r="H41" s="72">
        <f>$H$8</f>
        <v>68980.100000000006</v>
      </c>
      <c r="I41" s="83">
        <f>J29</f>
        <v>0.34</v>
      </c>
      <c r="J41" s="83">
        <f>P29</f>
        <v>9.5593406184450516E-2</v>
      </c>
      <c r="K41" s="83">
        <f>O29</f>
        <v>0.14875699999999997</v>
      </c>
      <c r="L41" s="72">
        <f>H41*(1-I41)</f>
        <v>45526.866000000002</v>
      </c>
      <c r="M41" s="72">
        <f>L41*(1+J41)/(K41-J41)</f>
        <v>938215.99734016298</v>
      </c>
    </row>
    <row r="42" spans="7:17" x14ac:dyDescent="0.3">
      <c r="G42" s="151">
        <v>0.1</v>
      </c>
      <c r="H42" s="72">
        <f t="shared" ref="H42:H50" si="15">$H$8</f>
        <v>68980.100000000006</v>
      </c>
      <c r="I42" s="83">
        <f t="shared" ref="I42:I50" si="16">J30</f>
        <v>0.34</v>
      </c>
      <c r="J42" s="83">
        <f t="shared" ref="J42:J50" si="17">P30</f>
        <v>9.5593406184450516E-2</v>
      </c>
      <c r="K42" s="83">
        <f t="shared" ref="K42:K50" si="18">O30</f>
        <v>0.144009462</v>
      </c>
      <c r="L42" s="72">
        <f t="shared" ref="L42:L50" si="19">H42*(1-I42)</f>
        <v>45526.866000000002</v>
      </c>
      <c r="M42" s="72">
        <f t="shared" ref="M42:M50" si="20">L42*(1+J42)/(K42-J42)</f>
        <v>1030214.7366953369</v>
      </c>
    </row>
    <row r="43" spans="7:17" x14ac:dyDescent="0.3">
      <c r="G43" s="151">
        <v>0.2</v>
      </c>
      <c r="H43" s="72">
        <f t="shared" si="15"/>
        <v>68980.100000000006</v>
      </c>
      <c r="I43" s="83">
        <f t="shared" si="16"/>
        <v>0.34</v>
      </c>
      <c r="J43" s="83">
        <f t="shared" si="17"/>
        <v>9.5593406184450516E-2</v>
      </c>
      <c r="K43" s="83">
        <f t="shared" si="18"/>
        <v>0.13986912400000001</v>
      </c>
      <c r="L43" s="72">
        <f t="shared" si="19"/>
        <v>45526.866000000002</v>
      </c>
      <c r="M43" s="72">
        <f t="shared" si="20"/>
        <v>1126552.8071534894</v>
      </c>
    </row>
    <row r="44" spans="7:17" x14ac:dyDescent="0.3">
      <c r="G44" s="151">
        <v>0.3</v>
      </c>
      <c r="H44" s="72">
        <f t="shared" si="15"/>
        <v>68980.100000000006</v>
      </c>
      <c r="I44" s="83">
        <f t="shared" si="16"/>
        <v>0.34</v>
      </c>
      <c r="J44" s="83">
        <f t="shared" si="17"/>
        <v>9.5593406184450516E-2</v>
      </c>
      <c r="K44" s="83">
        <f t="shared" si="18"/>
        <v>0.13934558599999997</v>
      </c>
      <c r="L44" s="72">
        <f t="shared" si="19"/>
        <v>45526.866000000002</v>
      </c>
      <c r="M44" s="72">
        <f t="shared" si="20"/>
        <v>1140033.1230151912</v>
      </c>
    </row>
    <row r="45" spans="7:17" x14ac:dyDescent="0.3">
      <c r="G45" s="151">
        <v>0.4</v>
      </c>
      <c r="H45" s="72">
        <f t="shared" si="15"/>
        <v>68980.100000000006</v>
      </c>
      <c r="I45" s="83">
        <f t="shared" si="16"/>
        <v>0.31381972810118763</v>
      </c>
      <c r="J45" s="83">
        <f t="shared" si="17"/>
        <v>9.5593406184450516E-2</v>
      </c>
      <c r="K45" s="83">
        <f t="shared" si="18"/>
        <v>0.15360610720343193</v>
      </c>
      <c r="L45" s="72">
        <f t="shared" si="19"/>
        <v>47332.783773607269</v>
      </c>
      <c r="M45" s="72">
        <f t="shared" si="20"/>
        <v>893898.83401138347</v>
      </c>
    </row>
    <row r="46" spans="7:17" x14ac:dyDescent="0.3">
      <c r="G46" s="151">
        <v>0.5</v>
      </c>
      <c r="H46" s="72">
        <f t="shared" si="15"/>
        <v>68980.100000000006</v>
      </c>
      <c r="I46" s="83">
        <f t="shared" si="16"/>
        <v>0.22435343041589983</v>
      </c>
      <c r="J46" s="83">
        <f t="shared" si="17"/>
        <v>9.5593406184450516E-2</v>
      </c>
      <c r="K46" s="83">
        <f t="shared" si="18"/>
        <v>0.17302406724985148</v>
      </c>
      <c r="L46" s="72">
        <f t="shared" si="19"/>
        <v>53504.177934568193</v>
      </c>
      <c r="M46" s="72">
        <f t="shared" si="20"/>
        <v>757049.25854786055</v>
      </c>
    </row>
    <row r="47" spans="7:17" x14ac:dyDescent="0.3">
      <c r="G47" s="151">
        <v>0.6</v>
      </c>
      <c r="H47" s="72">
        <f t="shared" si="15"/>
        <v>68980.100000000006</v>
      </c>
      <c r="I47" s="83">
        <f t="shared" si="16"/>
        <v>0.15878546993045414</v>
      </c>
      <c r="J47" s="83">
        <f t="shared" si="17"/>
        <v>9.5593406184450516E-2</v>
      </c>
      <c r="K47" s="83">
        <f t="shared" si="18"/>
        <v>0.20464107597392503</v>
      </c>
      <c r="L47" s="72">
        <f t="shared" si="19"/>
        <v>58027.062405650286</v>
      </c>
      <c r="M47" s="72">
        <f t="shared" si="20"/>
        <v>582993.35579218739</v>
      </c>
    </row>
    <row r="48" spans="7:17" x14ac:dyDescent="0.3">
      <c r="G48" s="151">
        <v>0.7</v>
      </c>
      <c r="H48" s="72">
        <f t="shared" si="15"/>
        <v>68980.100000000006</v>
      </c>
      <c r="I48" s="83">
        <f t="shared" si="16"/>
        <v>0.1361018313689607</v>
      </c>
      <c r="J48" s="83">
        <f t="shared" si="17"/>
        <v>9.5593406184450516E-2</v>
      </c>
      <c r="K48" s="83">
        <f t="shared" si="18"/>
        <v>0.21852107597392503</v>
      </c>
      <c r="L48" s="72">
        <f t="shared" si="19"/>
        <v>59591.782061985956</v>
      </c>
      <c r="M48" s="72">
        <f t="shared" si="20"/>
        <v>531112.02385683591</v>
      </c>
    </row>
    <row r="49" spans="7:13" x14ac:dyDescent="0.3">
      <c r="G49" s="151">
        <v>0.8</v>
      </c>
      <c r="H49" s="72">
        <f t="shared" si="15"/>
        <v>68980.100000000006</v>
      </c>
      <c r="I49" s="83">
        <f t="shared" si="16"/>
        <v>9.8333318100672001E-2</v>
      </c>
      <c r="J49" s="83">
        <f t="shared" si="17"/>
        <v>9.5593406184450516E-2</v>
      </c>
      <c r="K49" s="83">
        <f t="shared" si="18"/>
        <v>0.27071785340419507</v>
      </c>
      <c r="L49" s="72">
        <f t="shared" si="19"/>
        <v>62197.057884083835</v>
      </c>
      <c r="M49" s="72">
        <f t="shared" si="20"/>
        <v>389110.07334327244</v>
      </c>
    </row>
    <row r="50" spans="7:13" x14ac:dyDescent="0.3">
      <c r="G50" s="151">
        <v>0.9</v>
      </c>
      <c r="H50" s="72">
        <f t="shared" si="15"/>
        <v>68980.100000000006</v>
      </c>
      <c r="I50" s="83">
        <f t="shared" si="16"/>
        <v>8.7407393867264011E-2</v>
      </c>
      <c r="J50" s="83">
        <f t="shared" si="17"/>
        <v>9.5593406184450516E-2</v>
      </c>
      <c r="K50" s="83">
        <f t="shared" si="18"/>
        <v>0.28924785340419501</v>
      </c>
      <c r="L50" s="72">
        <f t="shared" si="19"/>
        <v>62950.729230296747</v>
      </c>
      <c r="M50" s="72">
        <f t="shared" si="20"/>
        <v>356141.59576183511</v>
      </c>
    </row>
    <row r="51" spans="7:13" x14ac:dyDescent="0.3">
      <c r="H51" s="135"/>
    </row>
  </sheetData>
  <mergeCells count="3">
    <mergeCell ref="V4:X4"/>
    <mergeCell ref="Z4:AA4"/>
    <mergeCell ref="AC4:AD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E8085-0A39-469B-BE50-0E4F041F328A}">
  <dimension ref="B2:S18"/>
  <sheetViews>
    <sheetView workbookViewId="0">
      <selection activeCell="I11" sqref="I11"/>
    </sheetView>
  </sheetViews>
  <sheetFormatPr defaultRowHeight="15" x14ac:dyDescent="0.25"/>
  <cols>
    <col min="3" max="3" width="15.42578125" bestFit="1" customWidth="1"/>
  </cols>
  <sheetData>
    <row r="2" spans="2:19" x14ac:dyDescent="0.25">
      <c r="B2" s="155" t="s">
        <v>142</v>
      </c>
      <c r="C2" s="155" t="s">
        <v>143</v>
      </c>
      <c r="D2" s="155" t="s">
        <v>144</v>
      </c>
    </row>
    <row r="3" spans="2:19" x14ac:dyDescent="0.25">
      <c r="B3" s="155">
        <v>2005</v>
      </c>
      <c r="C3" s="156">
        <v>91.05</v>
      </c>
      <c r="D3" s="157"/>
      <c r="E3" s="152"/>
      <c r="F3" s="152"/>
      <c r="G3" s="152"/>
      <c r="H3" s="152"/>
      <c r="I3" s="152"/>
      <c r="J3" s="152"/>
      <c r="K3" s="152"/>
      <c r="L3" s="152"/>
      <c r="M3" s="153"/>
      <c r="N3" s="153"/>
      <c r="O3" s="153"/>
      <c r="P3" s="153"/>
      <c r="Q3" s="153"/>
      <c r="R3" s="153"/>
      <c r="S3" s="154"/>
    </row>
    <row r="4" spans="2:19" x14ac:dyDescent="0.25">
      <c r="B4" s="155">
        <v>2006</v>
      </c>
      <c r="C4" s="156">
        <v>114.78</v>
      </c>
      <c r="D4" s="157">
        <f t="shared" ref="D4:D16" si="0">(C4-C3)/C3</f>
        <v>0.26062602965403631</v>
      </c>
    </row>
    <row r="5" spans="2:19" x14ac:dyDescent="0.25">
      <c r="B5" s="155">
        <v>2007</v>
      </c>
      <c r="C5" s="156">
        <v>172.13</v>
      </c>
      <c r="D5" s="157">
        <f t="shared" si="0"/>
        <v>0.49965150723122492</v>
      </c>
    </row>
    <row r="6" spans="2:19" x14ac:dyDescent="0.25">
      <c r="B6" s="155">
        <v>2008</v>
      </c>
      <c r="C6" s="156">
        <v>354.89</v>
      </c>
      <c r="D6" s="157">
        <f t="shared" si="0"/>
        <v>1.0617556497995702</v>
      </c>
    </row>
    <row r="7" spans="2:19" x14ac:dyDescent="0.25">
      <c r="B7" s="155">
        <v>2009</v>
      </c>
      <c r="C7" s="156">
        <v>535.77</v>
      </c>
      <c r="D7" s="157">
        <f t="shared" si="0"/>
        <v>0.50967905548198034</v>
      </c>
    </row>
    <row r="8" spans="2:19" x14ac:dyDescent="0.25">
      <c r="B8" s="155">
        <v>2010</v>
      </c>
      <c r="C8" s="156">
        <v>778.45</v>
      </c>
      <c r="D8" s="157">
        <f t="shared" si="0"/>
        <v>0.45295555928850079</v>
      </c>
    </row>
    <row r="9" spans="2:19" x14ac:dyDescent="0.25">
      <c r="B9" s="155">
        <v>2011</v>
      </c>
      <c r="C9" s="158">
        <v>1076.8800000000001</v>
      </c>
      <c r="D9" s="157">
        <f t="shared" si="0"/>
        <v>0.38336437793050299</v>
      </c>
    </row>
    <row r="10" spans="2:19" x14ac:dyDescent="0.25">
      <c r="B10" s="155">
        <v>2012</v>
      </c>
      <c r="C10" s="158">
        <v>1269.5899999999999</v>
      </c>
      <c r="D10" s="157">
        <f t="shared" si="0"/>
        <v>0.17895215808632325</v>
      </c>
    </row>
    <row r="11" spans="2:19" x14ac:dyDescent="0.25">
      <c r="B11" s="155">
        <v>2013</v>
      </c>
      <c r="C11" s="158">
        <v>1889.19</v>
      </c>
      <c r="D11" s="157">
        <f t="shared" si="0"/>
        <v>0.48803156924676483</v>
      </c>
    </row>
    <row r="12" spans="2:19" x14ac:dyDescent="0.25">
      <c r="B12" s="155">
        <v>2014</v>
      </c>
      <c r="C12" s="158">
        <v>2210.25</v>
      </c>
      <c r="D12" s="157">
        <f t="shared" si="0"/>
        <v>0.16994584980864813</v>
      </c>
    </row>
    <row r="13" spans="2:19" x14ac:dyDescent="0.25">
      <c r="B13" s="155">
        <v>2015</v>
      </c>
      <c r="C13" s="158">
        <v>2148.17</v>
      </c>
      <c r="D13" s="157">
        <f t="shared" si="0"/>
        <v>-2.808732043886435E-2</v>
      </c>
    </row>
    <row r="14" spans="2:19" x14ac:dyDescent="0.25">
      <c r="B14" s="155">
        <v>2016</v>
      </c>
      <c r="C14" s="158">
        <v>3106.27</v>
      </c>
      <c r="D14" s="157">
        <f t="shared" si="0"/>
        <v>0.44600753199234694</v>
      </c>
    </row>
    <row r="15" spans="2:19" x14ac:dyDescent="0.25">
      <c r="B15" s="155">
        <v>2017</v>
      </c>
      <c r="C15" s="158">
        <v>3292.94</v>
      </c>
      <c r="D15" s="157">
        <f t="shared" si="0"/>
        <v>6.0094582892021645E-2</v>
      </c>
    </row>
    <row r="16" spans="2:19" x14ac:dyDescent="0.25">
      <c r="B16" s="155">
        <v>2018</v>
      </c>
      <c r="C16" s="158">
        <v>3829.18</v>
      </c>
      <c r="D16" s="157">
        <f t="shared" si="0"/>
        <v>0.16284536007336903</v>
      </c>
    </row>
    <row r="17" spans="2:4" x14ac:dyDescent="0.25">
      <c r="B17" s="155"/>
      <c r="C17" s="155" t="s">
        <v>145</v>
      </c>
      <c r="D17" s="157">
        <f>STDEV(D4:D16)</f>
        <v>0.27770676578006154</v>
      </c>
    </row>
    <row r="18" spans="2:4" x14ac:dyDescent="0.25">
      <c r="C18" t="s">
        <v>146</v>
      </c>
      <c r="D18" s="159">
        <f>AVERAGE(D4:D16)</f>
        <v>0.35737091623434042</v>
      </c>
    </row>
  </sheetData>
  <sortState xmlns:xlrd2="http://schemas.microsoft.com/office/spreadsheetml/2017/richdata2" ref="B3:C16">
    <sortCondition ref="B3:B1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F8446-8F60-4B60-9384-8794CA0BC238}">
  <dimension ref="A1:S17"/>
  <sheetViews>
    <sheetView topLeftCell="F1" workbookViewId="0">
      <selection activeCell="K3" sqref="K3"/>
    </sheetView>
  </sheetViews>
  <sheetFormatPr defaultRowHeight="15.75" x14ac:dyDescent="0.25"/>
  <cols>
    <col min="1" max="1" width="9.28515625" style="1" bestFit="1" customWidth="1"/>
    <col min="2" max="2" width="13" style="1" bestFit="1" customWidth="1"/>
    <col min="3" max="3" width="12.42578125" style="1" bestFit="1" customWidth="1"/>
    <col min="4" max="4" width="9.28515625" style="1" bestFit="1" customWidth="1"/>
    <col min="5" max="5" width="9.140625" style="1"/>
    <col min="6" max="6" width="21.42578125" style="1" bestFit="1" customWidth="1"/>
    <col min="7" max="7" width="12.140625" style="1" bestFit="1" customWidth="1"/>
    <col min="8" max="8" width="9.140625" style="1"/>
    <col min="9" max="9" width="21.42578125" style="1" bestFit="1" customWidth="1"/>
    <col min="10" max="11" width="9.5703125" style="1" bestFit="1" customWidth="1"/>
    <col min="12" max="12" width="9.140625" style="1"/>
    <col min="13" max="16" width="9.7109375" style="1" bestFit="1" customWidth="1"/>
    <col min="17" max="17" width="9.140625" style="1"/>
    <col min="18" max="18" width="10.7109375" style="1" bestFit="1" customWidth="1"/>
    <col min="19" max="19" width="9.28515625" style="1" bestFit="1" customWidth="1"/>
    <col min="20" max="16384" width="9.140625" style="1"/>
  </cols>
  <sheetData>
    <row r="1" spans="1:19" x14ac:dyDescent="0.25">
      <c r="F1" s="1" t="s">
        <v>147</v>
      </c>
    </row>
    <row r="2" spans="1:19" x14ac:dyDescent="0.25">
      <c r="A2" s="4" t="s">
        <v>91</v>
      </c>
      <c r="B2" s="4" t="s">
        <v>73</v>
      </c>
      <c r="C2" s="4" t="s">
        <v>74</v>
      </c>
      <c r="D2" s="4" t="s">
        <v>75</v>
      </c>
      <c r="F2" s="1" t="s">
        <v>110</v>
      </c>
      <c r="G2" s="1">
        <v>1117445.19</v>
      </c>
    </row>
    <row r="3" spans="1:19" x14ac:dyDescent="0.25">
      <c r="A3" s="9">
        <v>-100000</v>
      </c>
      <c r="B3" s="9">
        <v>0.19999900000000001</v>
      </c>
      <c r="C3" s="9" t="s">
        <v>76</v>
      </c>
      <c r="D3" s="10">
        <v>0.186</v>
      </c>
      <c r="F3" s="1" t="s">
        <v>113</v>
      </c>
      <c r="G3" s="1">
        <v>6.6799999999999998E-2</v>
      </c>
    </row>
    <row r="4" spans="1:19" x14ac:dyDescent="0.25">
      <c r="A4" s="9">
        <v>0.2</v>
      </c>
      <c r="B4" s="9">
        <v>0.64999899999999999</v>
      </c>
      <c r="C4" s="9" t="s">
        <v>77</v>
      </c>
      <c r="D4" s="10">
        <v>0.13950000000000001</v>
      </c>
      <c r="F4" s="1" t="s">
        <v>121</v>
      </c>
      <c r="G4" s="1">
        <v>1.4E-2</v>
      </c>
    </row>
    <row r="5" spans="1:19" x14ac:dyDescent="0.25">
      <c r="A5" s="9">
        <v>0.65</v>
      </c>
      <c r="B5" s="9">
        <v>0.79999900000000002</v>
      </c>
      <c r="C5" s="9" t="s">
        <v>78</v>
      </c>
      <c r="D5" s="10">
        <v>0.10630000000000001</v>
      </c>
      <c r="F5" s="1" t="s">
        <v>103</v>
      </c>
      <c r="G5" s="1">
        <v>0.19094556217115224</v>
      </c>
    </row>
    <row r="6" spans="1:19" x14ac:dyDescent="0.25">
      <c r="A6" s="9">
        <v>0.8</v>
      </c>
      <c r="B6" s="9">
        <v>1.2499990000000001</v>
      </c>
      <c r="C6" s="9" t="s">
        <v>79</v>
      </c>
      <c r="D6" s="10">
        <v>8.6400000000000005E-2</v>
      </c>
      <c r="I6" s="1" t="s">
        <v>148</v>
      </c>
      <c r="J6" s="173">
        <v>0.2</v>
      </c>
      <c r="K6" s="174"/>
      <c r="M6" s="173">
        <v>0.3</v>
      </c>
      <c r="N6" s="173"/>
      <c r="O6" s="173"/>
      <c r="P6" s="173"/>
      <c r="R6" s="173">
        <v>0.4</v>
      </c>
      <c r="S6" s="173"/>
    </row>
    <row r="7" spans="1:19" x14ac:dyDescent="0.25">
      <c r="A7" s="9">
        <v>1.25</v>
      </c>
      <c r="B7" s="9">
        <v>1.4999990000000001</v>
      </c>
      <c r="C7" s="9" t="s">
        <v>80</v>
      </c>
      <c r="D7" s="10">
        <v>4.3700000000000003E-2</v>
      </c>
      <c r="F7" s="1" t="s">
        <v>104</v>
      </c>
      <c r="G7" s="1">
        <v>0.23601077164049375</v>
      </c>
      <c r="I7" s="1" t="s">
        <v>104</v>
      </c>
      <c r="J7" s="14">
        <f>20/80</f>
        <v>0.25</v>
      </c>
      <c r="K7" s="14">
        <f>J7</f>
        <v>0.25</v>
      </c>
      <c r="M7" s="161">
        <f>30/70</f>
        <v>0.42857142857142855</v>
      </c>
      <c r="N7" s="162">
        <f t="shared" ref="N7:P10" si="0">M7</f>
        <v>0.42857142857142855</v>
      </c>
      <c r="O7" s="162">
        <f t="shared" si="0"/>
        <v>0.42857142857142855</v>
      </c>
      <c r="P7" s="162">
        <f t="shared" si="0"/>
        <v>0.42857142857142855</v>
      </c>
      <c r="R7" s="14">
        <f>40/60</f>
        <v>0.66666666666666663</v>
      </c>
      <c r="S7" s="14">
        <f>40/60</f>
        <v>0.66666666666666663</v>
      </c>
    </row>
    <row r="8" spans="1:19" x14ac:dyDescent="0.25">
      <c r="A8" s="9">
        <v>1.5</v>
      </c>
      <c r="B8" s="9">
        <v>1.7499990000000001</v>
      </c>
      <c r="C8" s="9" t="s">
        <v>81</v>
      </c>
      <c r="D8" s="10">
        <v>3.5700000000000003E-2</v>
      </c>
      <c r="F8" s="1" t="s">
        <v>105</v>
      </c>
      <c r="G8" s="1">
        <v>213371.2</v>
      </c>
      <c r="I8" s="1" t="s">
        <v>110</v>
      </c>
      <c r="J8" s="1">
        <f>G2</f>
        <v>1117445.19</v>
      </c>
      <c r="K8" s="1">
        <f>J8</f>
        <v>1117445.19</v>
      </c>
      <c r="M8" s="163">
        <f>K8</f>
        <v>1117445.19</v>
      </c>
      <c r="N8" s="163">
        <f t="shared" si="0"/>
        <v>1117445.19</v>
      </c>
      <c r="O8" s="163">
        <f t="shared" si="0"/>
        <v>1117445.19</v>
      </c>
      <c r="P8" s="163">
        <f t="shared" si="0"/>
        <v>1117445.19</v>
      </c>
      <c r="R8" s="163">
        <f>P8</f>
        <v>1117445.19</v>
      </c>
      <c r="S8" s="163">
        <f>R8</f>
        <v>1117445.19</v>
      </c>
    </row>
    <row r="9" spans="1:19" x14ac:dyDescent="0.25">
      <c r="A9" s="9">
        <v>1.75</v>
      </c>
      <c r="B9" s="9">
        <v>1.9999990000000001</v>
      </c>
      <c r="C9" s="9" t="s">
        <v>82</v>
      </c>
      <c r="D9" s="10">
        <v>2.98E-2</v>
      </c>
      <c r="F9" s="1" t="s">
        <v>94</v>
      </c>
      <c r="G9" s="1">
        <v>68980.100000000006</v>
      </c>
      <c r="I9" s="1" t="s">
        <v>105</v>
      </c>
      <c r="J9" s="1">
        <f>J8*J6</f>
        <v>223489.038</v>
      </c>
      <c r="K9" s="1">
        <f>J9</f>
        <v>223489.038</v>
      </c>
      <c r="M9" s="163">
        <f>M8*0.3</f>
        <v>335233.55699999997</v>
      </c>
      <c r="N9" s="163">
        <f t="shared" si="0"/>
        <v>335233.55699999997</v>
      </c>
      <c r="O9" s="163">
        <f t="shared" si="0"/>
        <v>335233.55699999997</v>
      </c>
      <c r="P9" s="163">
        <f t="shared" si="0"/>
        <v>335233.55699999997</v>
      </c>
      <c r="R9" s="167">
        <f>R8*R6</f>
        <v>446978.076</v>
      </c>
      <c r="S9" s="13">
        <f>R9</f>
        <v>446978.076</v>
      </c>
    </row>
    <row r="10" spans="1:19" x14ac:dyDescent="0.25">
      <c r="A10" s="9">
        <v>2</v>
      </c>
      <c r="B10" s="9">
        <v>2.2499999000000002</v>
      </c>
      <c r="C10" s="9" t="s">
        <v>83</v>
      </c>
      <c r="D10" s="10">
        <v>2.3800000000000002E-2</v>
      </c>
      <c r="F10" s="1" t="s">
        <v>109</v>
      </c>
      <c r="G10" s="1">
        <v>10875.3</v>
      </c>
      <c r="I10" s="1" t="s">
        <v>94</v>
      </c>
      <c r="J10" s="1">
        <f>G9*0.9</f>
        <v>62082.090000000004</v>
      </c>
      <c r="K10" s="1">
        <f>J10</f>
        <v>62082.090000000004</v>
      </c>
      <c r="M10" s="163">
        <f>K10</f>
        <v>62082.090000000004</v>
      </c>
      <c r="N10" s="163">
        <f t="shared" si="0"/>
        <v>62082.090000000004</v>
      </c>
      <c r="O10" s="163">
        <f t="shared" si="0"/>
        <v>62082.090000000004</v>
      </c>
      <c r="P10" s="163">
        <f t="shared" si="0"/>
        <v>62082.090000000004</v>
      </c>
      <c r="R10" s="163">
        <f>P10</f>
        <v>62082.090000000004</v>
      </c>
      <c r="S10" s="1">
        <f>R10</f>
        <v>62082.090000000004</v>
      </c>
    </row>
    <row r="11" spans="1:19" x14ac:dyDescent="0.25">
      <c r="A11" s="9">
        <v>2.25</v>
      </c>
      <c r="B11" s="9">
        <v>2.4999899999999999</v>
      </c>
      <c r="C11" s="9" t="s">
        <v>84</v>
      </c>
      <c r="D11" s="10">
        <v>1.9800000000000002E-2</v>
      </c>
      <c r="F11" s="1" t="s">
        <v>106</v>
      </c>
      <c r="G11" s="1">
        <v>6.3428227267293789</v>
      </c>
      <c r="I11" s="1" t="s">
        <v>109</v>
      </c>
      <c r="J11" s="5">
        <f>J9*J17</f>
        <v>20292.804650399998</v>
      </c>
      <c r="K11" s="5">
        <f>K9*K17</f>
        <v>20583.340399799999</v>
      </c>
      <c r="M11" s="164">
        <f>M9*M17</f>
        <v>30875.010599699999</v>
      </c>
      <c r="N11" s="164">
        <f>N9*N17</f>
        <v>35065.430062199994</v>
      </c>
      <c r="O11" s="164">
        <f>O9*O17</f>
        <v>37076.831404199998</v>
      </c>
      <c r="P11" s="164">
        <f>P9*P17</f>
        <v>39054.709390499993</v>
      </c>
      <c r="R11" s="164">
        <f>R9*R17</f>
        <v>52072.945853999998</v>
      </c>
      <c r="S11" s="166">
        <f>S9*S17</f>
        <v>74734.734307200008</v>
      </c>
    </row>
    <row r="12" spans="1:19" x14ac:dyDescent="0.25">
      <c r="A12" s="9">
        <v>2.5</v>
      </c>
      <c r="B12" s="9">
        <v>2.9999989999999999</v>
      </c>
      <c r="C12" s="9" t="s">
        <v>85</v>
      </c>
      <c r="D12" s="10">
        <v>1.2699999999999999E-2</v>
      </c>
      <c r="F12" s="1" t="s">
        <v>107</v>
      </c>
      <c r="G12" s="1" t="s">
        <v>120</v>
      </c>
      <c r="I12" s="1" t="s">
        <v>106</v>
      </c>
      <c r="J12" s="5">
        <f>J10/J11</f>
        <v>3.0593154110304948</v>
      </c>
      <c r="K12" s="5">
        <f>K10/K11</f>
        <v>3.0161328916565568</v>
      </c>
      <c r="M12" s="164">
        <f>M10/M11</f>
        <v>2.0107552611043715</v>
      </c>
      <c r="N12" s="164">
        <f>N10/N11</f>
        <v>1.7704642404179027</v>
      </c>
      <c r="O12" s="164">
        <f>O10/O11</f>
        <v>1.6744173557659368</v>
      </c>
      <c r="P12" s="164">
        <f>P10/P11</f>
        <v>1.5896185368902371</v>
      </c>
      <c r="R12" s="164">
        <f>R10/R11</f>
        <v>1.1922139026676777</v>
      </c>
      <c r="S12" s="164">
        <f>S10/S11</f>
        <v>0.83069928026784945</v>
      </c>
    </row>
    <row r="13" spans="1:19" x14ac:dyDescent="0.25">
      <c r="A13" s="9">
        <v>3</v>
      </c>
      <c r="B13" s="9">
        <v>4.2499989999999999</v>
      </c>
      <c r="C13" s="9" t="s">
        <v>86</v>
      </c>
      <c r="D13" s="10">
        <v>1.1299999999999999E-2</v>
      </c>
      <c r="F13" s="1" t="s">
        <v>114</v>
      </c>
      <c r="G13" s="1">
        <v>0.01</v>
      </c>
      <c r="I13" s="1" t="s">
        <v>107</v>
      </c>
      <c r="J13" s="1" t="s">
        <v>120</v>
      </c>
      <c r="K13" s="8" t="str">
        <f>C13</f>
        <v>A3/A-</v>
      </c>
      <c r="M13" s="165" t="str">
        <f>K13</f>
        <v>A3/A-</v>
      </c>
      <c r="N13" s="163" t="str">
        <f>C10</f>
        <v>Ba2/BB</v>
      </c>
      <c r="O13" s="160" t="s">
        <v>82</v>
      </c>
      <c r="P13" s="163" t="str">
        <f>C8</f>
        <v>B2/B</v>
      </c>
      <c r="R13" s="163" t="str">
        <f>P13</f>
        <v>B2/B</v>
      </c>
      <c r="S13" s="1" t="str">
        <f>C6</f>
        <v>Caa/CCC</v>
      </c>
    </row>
    <row r="14" spans="1:19" x14ac:dyDescent="0.25">
      <c r="A14" s="9">
        <v>4.25</v>
      </c>
      <c r="B14" s="9">
        <v>5.4999989999999999</v>
      </c>
      <c r="C14" s="9" t="s">
        <v>87</v>
      </c>
      <c r="D14" s="10">
        <v>9.9000000000000008E-3</v>
      </c>
      <c r="F14" s="1" t="s">
        <v>108</v>
      </c>
      <c r="G14" s="1">
        <v>9.0799999999999992E-2</v>
      </c>
      <c r="I14" s="1" t="s">
        <v>113</v>
      </c>
      <c r="J14" s="8">
        <v>6.6799999999999998E-2</v>
      </c>
      <c r="K14" s="8">
        <f>J14</f>
        <v>6.6799999999999998E-2</v>
      </c>
      <c r="M14" s="165">
        <f>K14</f>
        <v>6.6799999999999998E-2</v>
      </c>
      <c r="N14" s="165">
        <f t="shared" ref="N14:P15" si="1">M14</f>
        <v>6.6799999999999998E-2</v>
      </c>
      <c r="O14" s="165">
        <f t="shared" si="1"/>
        <v>6.6799999999999998E-2</v>
      </c>
      <c r="P14" s="165">
        <f t="shared" si="1"/>
        <v>6.6799999999999998E-2</v>
      </c>
      <c r="R14" s="8">
        <f>P14</f>
        <v>6.6799999999999998E-2</v>
      </c>
      <c r="S14" s="8">
        <f>R14</f>
        <v>6.6799999999999998E-2</v>
      </c>
    </row>
    <row r="15" spans="1:19" x14ac:dyDescent="0.25">
      <c r="A15" s="9">
        <v>5.5</v>
      </c>
      <c r="B15" s="9">
        <v>6.4999989999999999</v>
      </c>
      <c r="C15" s="9" t="s">
        <v>88</v>
      </c>
      <c r="D15" s="10">
        <v>8.9999999999999993E-3</v>
      </c>
      <c r="I15" s="1" t="s">
        <v>149</v>
      </c>
      <c r="J15" s="8">
        <v>1.4E-2</v>
      </c>
      <c r="K15" s="8">
        <f>J15</f>
        <v>1.4E-2</v>
      </c>
      <c r="M15" s="165">
        <f>K15</f>
        <v>1.4E-2</v>
      </c>
      <c r="N15" s="165">
        <f t="shared" si="1"/>
        <v>1.4E-2</v>
      </c>
      <c r="O15" s="165">
        <f t="shared" si="1"/>
        <v>1.4E-2</v>
      </c>
      <c r="P15" s="165">
        <f t="shared" si="1"/>
        <v>1.4E-2</v>
      </c>
      <c r="R15" s="8">
        <f>P15</f>
        <v>1.4E-2</v>
      </c>
      <c r="S15" s="8">
        <f>R15</f>
        <v>1.4E-2</v>
      </c>
    </row>
    <row r="16" spans="1:19" x14ac:dyDescent="0.25">
      <c r="A16" s="9">
        <v>6.5</v>
      </c>
      <c r="B16" s="9">
        <v>8.4999990000000007</v>
      </c>
      <c r="C16" s="9" t="s">
        <v>89</v>
      </c>
      <c r="D16" s="10">
        <v>7.1999999999999998E-3</v>
      </c>
      <c r="I16" s="1" t="s">
        <v>114</v>
      </c>
      <c r="J16" s="7">
        <v>0.01</v>
      </c>
      <c r="K16" s="8">
        <f>D13</f>
        <v>1.1299999999999999E-2</v>
      </c>
      <c r="M16" s="165">
        <f>K16</f>
        <v>1.1299999999999999E-2</v>
      </c>
      <c r="N16" s="165">
        <f>D10</f>
        <v>2.3800000000000002E-2</v>
      </c>
      <c r="O16" s="165">
        <f>D9</f>
        <v>2.98E-2</v>
      </c>
      <c r="P16" s="165">
        <f>D8</f>
        <v>3.5700000000000003E-2</v>
      </c>
      <c r="R16" s="8">
        <f>P16</f>
        <v>3.5700000000000003E-2</v>
      </c>
      <c r="S16" s="8">
        <f>D6</f>
        <v>8.6400000000000005E-2</v>
      </c>
    </row>
    <row r="17" spans="1:19" x14ac:dyDescent="0.25">
      <c r="A17" s="11">
        <v>8.5</v>
      </c>
      <c r="B17" s="9">
        <v>100000</v>
      </c>
      <c r="C17" s="9" t="s">
        <v>90</v>
      </c>
      <c r="D17" s="10">
        <v>5.4000000000000003E-3</v>
      </c>
      <c r="I17" s="1" t="s">
        <v>108</v>
      </c>
      <c r="J17" s="8">
        <f>J14+J15+J16</f>
        <v>9.0799999999999992E-2</v>
      </c>
      <c r="K17" s="8">
        <f>K14+K15+K16</f>
        <v>9.2100000000000001E-2</v>
      </c>
      <c r="M17" s="165">
        <f>K17</f>
        <v>9.2100000000000001E-2</v>
      </c>
      <c r="N17" s="165">
        <f>N14+N15+N16</f>
        <v>0.1046</v>
      </c>
      <c r="O17" s="165">
        <f>O14+O15+O16</f>
        <v>0.1106</v>
      </c>
      <c r="P17" s="165">
        <f>P14+P15+P16</f>
        <v>0.11649999999999999</v>
      </c>
      <c r="R17" s="165">
        <f>R14+R15+R16</f>
        <v>0.11649999999999999</v>
      </c>
      <c r="S17" s="165">
        <f>S14+S15+S16</f>
        <v>0.16720000000000002</v>
      </c>
    </row>
  </sheetData>
  <mergeCells count="3">
    <mergeCell ref="J6:K6"/>
    <mergeCell ref="M6:P6"/>
    <mergeCell ref="R6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Work-Sheet</vt:lpstr>
      <vt:lpstr>Bond rating calculation</vt:lpstr>
      <vt:lpstr>Sheet3</vt:lpstr>
      <vt:lpstr>Droping Income by 10%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Yogesh Chauhan</dc:creator>
  <cp:lastModifiedBy>Prof. Yogesh Chauhan</cp:lastModifiedBy>
  <dcterms:created xsi:type="dcterms:W3CDTF">2018-01-30T05:33:41Z</dcterms:created>
  <dcterms:modified xsi:type="dcterms:W3CDTF">2019-10-12T11:30:48Z</dcterms:modified>
</cp:coreProperties>
</file>